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45" windowWidth="10200" windowHeight="8190" tabRatio="750"/>
  </bookViews>
  <sheets>
    <sheet name="MORRETES RURAL" sheetId="3" r:id="rId1"/>
    <sheet name="COLONIA MARQUES" sheetId="17" r:id="rId2"/>
    <sheet name="SARAPIÁ" sheetId="8" r:id="rId3"/>
    <sheet name="MORRO ALTO" sheetId="16" r:id="rId4"/>
    <sheet name="AMERICA BAIXO E AMER CIMA" sheetId="13" r:id="rId5"/>
    <sheet name="FARTURA" sheetId="10" r:id="rId6"/>
    <sheet name="ANHAIA" sheetId="12" r:id="rId7"/>
    <sheet name="MUNDO NOVO ANHAIA" sheetId="11" r:id="rId8"/>
    <sheet name="CARAMBIÚ" sheetId="9" r:id="rId9"/>
    <sheet name="NOVO MUNDO SAQUAREMA" sheetId="6" r:id="rId10"/>
    <sheet name="CRUZEIRO" sheetId="7" r:id="rId11"/>
    <sheet name="ITAPERUÇU" sheetId="5" r:id="rId12"/>
    <sheet name="ESTR.RURAL DO 32" sheetId="19" r:id="rId13"/>
  </sheets>
  <definedNames>
    <definedName name="_xlnm.Print_Area" localSheetId="4">'AMERICA BAIXO E AMER CIMA'!$A$2:$J$32</definedName>
    <definedName name="_xlnm.Print_Area" localSheetId="6">ANHAIA!$A$2:$J$32</definedName>
    <definedName name="_xlnm.Print_Area" localSheetId="8">CARAMBIÚ!$A$2:$J$32</definedName>
    <definedName name="_xlnm.Print_Area" localSheetId="1">'COLONIA MARQUES'!$A$2:$J$32</definedName>
    <definedName name="_xlnm.Print_Area" localSheetId="10">CRUZEIRO!$A$2:$J$32</definedName>
    <definedName name="_xlnm.Print_Area" localSheetId="12">'ESTR.RURAL DO 32'!$A$2:$J$32</definedName>
    <definedName name="_xlnm.Print_Area" localSheetId="5">FARTURA!$A$2:$J$32</definedName>
    <definedName name="_xlnm.Print_Area" localSheetId="11">ITAPERUÇU!$A$2:$J$32</definedName>
    <definedName name="_xlnm.Print_Area" localSheetId="0">'MORRETES RURAL'!$A$2:$J$32</definedName>
    <definedName name="_xlnm.Print_Area" localSheetId="3">'MORRO ALTO'!$A$2:$J$32</definedName>
    <definedName name="_xlnm.Print_Area" localSheetId="7">'MUNDO NOVO ANHAIA'!$A$2:$J$32</definedName>
    <definedName name="_xlnm.Print_Area" localSheetId="9">'NOVO MUNDO SAQUAREMA'!$A$2:$J$32</definedName>
    <definedName name="_xlnm.Print_Area" localSheetId="2">SARAPIÁ!$A$2:$J$32</definedName>
  </definedNames>
  <calcPr calcId="145621"/>
</workbook>
</file>

<file path=xl/calcChain.xml><?xml version="1.0" encoding="utf-8"?>
<calcChain xmlns="http://schemas.openxmlformats.org/spreadsheetml/2006/main">
  <c r="G5" i="17" l="1"/>
  <c r="G5" i="3" s="1"/>
  <c r="F27" i="3"/>
  <c r="H26" i="17"/>
  <c r="H26" i="8"/>
  <c r="H26" i="16"/>
  <c r="H26" i="13"/>
  <c r="H26" i="10"/>
  <c r="H26" i="12"/>
  <c r="H26" i="11"/>
  <c r="H26" i="9"/>
  <c r="H26" i="6"/>
  <c r="H26" i="7"/>
  <c r="H26" i="5"/>
  <c r="F26" i="19"/>
  <c r="H26" i="19"/>
  <c r="H26" i="3"/>
  <c r="F21" i="3"/>
  <c r="F20" i="3"/>
  <c r="F11" i="3"/>
  <c r="I26" i="19" l="1"/>
  <c r="H11" i="17"/>
  <c r="H12" i="17"/>
  <c r="H13" i="17"/>
  <c r="H11" i="8"/>
  <c r="H12" i="8"/>
  <c r="H13" i="8"/>
  <c r="H11" i="16"/>
  <c r="H12" i="16"/>
  <c r="H13" i="16"/>
  <c r="H11" i="13"/>
  <c r="H12" i="13"/>
  <c r="H13" i="13"/>
  <c r="H11" i="10"/>
  <c r="H12" i="10"/>
  <c r="H13" i="10"/>
  <c r="H11" i="12"/>
  <c r="H12" i="12"/>
  <c r="H13" i="12"/>
  <c r="H11" i="11"/>
  <c r="H12" i="11"/>
  <c r="H13" i="11"/>
  <c r="H11" i="9"/>
  <c r="H12" i="9"/>
  <c r="H13" i="9"/>
  <c r="H11" i="6"/>
  <c r="H12" i="6"/>
  <c r="H13" i="6"/>
  <c r="H11" i="7"/>
  <c r="H12" i="7"/>
  <c r="H13" i="7"/>
  <c r="H11" i="5"/>
  <c r="H12" i="5"/>
  <c r="H13" i="5"/>
  <c r="H11" i="19"/>
  <c r="H12" i="19"/>
  <c r="H13" i="19"/>
  <c r="H16" i="17"/>
  <c r="H17" i="17"/>
  <c r="H16" i="8"/>
  <c r="H17" i="8"/>
  <c r="H16" i="16"/>
  <c r="H17" i="16"/>
  <c r="H16" i="13"/>
  <c r="H17" i="13"/>
  <c r="H16" i="10"/>
  <c r="H17" i="10"/>
  <c r="H16" i="12"/>
  <c r="H17" i="12"/>
  <c r="H16" i="11"/>
  <c r="H17" i="11"/>
  <c r="H16" i="9"/>
  <c r="H17" i="9"/>
  <c r="H16" i="6"/>
  <c r="H17" i="6"/>
  <c r="H16" i="7"/>
  <c r="H17" i="7"/>
  <c r="H16" i="5"/>
  <c r="H17" i="5"/>
  <c r="H16" i="19"/>
  <c r="H17" i="19"/>
  <c r="H20" i="17"/>
  <c r="H21" i="17"/>
  <c r="H20" i="8"/>
  <c r="H21" i="8"/>
  <c r="H20" i="13"/>
  <c r="I20" i="13" s="1"/>
  <c r="H21" i="13"/>
  <c r="H20" i="10"/>
  <c r="H21" i="10"/>
  <c r="H20" i="12"/>
  <c r="H21" i="12"/>
  <c r="H20" i="11"/>
  <c r="H21" i="11"/>
  <c r="H20" i="9"/>
  <c r="H21" i="9"/>
  <c r="H20" i="6"/>
  <c r="H21" i="6"/>
  <c r="H20" i="7"/>
  <c r="H21" i="7"/>
  <c r="H20" i="5"/>
  <c r="H21" i="5"/>
  <c r="H20" i="19"/>
  <c r="H21" i="19"/>
  <c r="F17" i="10"/>
  <c r="F17" i="13" l="1"/>
  <c r="I17" i="13" s="1"/>
  <c r="F17" i="19"/>
  <c r="F17" i="5"/>
  <c r="F17" i="7"/>
  <c r="F17" i="6"/>
  <c r="F17" i="9"/>
  <c r="F17" i="11"/>
  <c r="F17" i="12"/>
  <c r="F17" i="16"/>
  <c r="F17" i="8"/>
  <c r="F17" i="17"/>
  <c r="F25" i="19"/>
  <c r="F25" i="12"/>
  <c r="F25" i="8"/>
  <c r="F13" i="19"/>
  <c r="F13" i="5"/>
  <c r="F13" i="7"/>
  <c r="F13" i="6"/>
  <c r="F13" i="9"/>
  <c r="F13" i="11"/>
  <c r="F13" i="12"/>
  <c r="F13" i="10"/>
  <c r="F13" i="13"/>
  <c r="I13" i="13" s="1"/>
  <c r="F13" i="16"/>
  <c r="F13" i="8"/>
  <c r="F13" i="17"/>
  <c r="F24" i="19"/>
  <c r="F12" i="19"/>
  <c r="F24" i="12"/>
  <c r="F12" i="12"/>
  <c r="F24" i="8"/>
  <c r="G7" i="19"/>
  <c r="F16" i="19" s="1"/>
  <c r="G7" i="5"/>
  <c r="F25" i="5" s="1"/>
  <c r="G7" i="7"/>
  <c r="F25" i="7" s="1"/>
  <c r="G7" i="6"/>
  <c r="F24" i="6" s="1"/>
  <c r="G7" i="9"/>
  <c r="F16" i="9" s="1"/>
  <c r="G7" i="11"/>
  <c r="F25" i="11" s="1"/>
  <c r="G7" i="12"/>
  <c r="G7" i="10"/>
  <c r="F16" i="10" s="1"/>
  <c r="G7" i="13"/>
  <c r="G7" i="16"/>
  <c r="G7" i="8"/>
  <c r="G7" i="17"/>
  <c r="F16" i="13" l="1"/>
  <c r="I16" i="13" s="1"/>
  <c r="F26" i="13"/>
  <c r="I26" i="13" s="1"/>
  <c r="F26" i="8"/>
  <c r="I26" i="8" s="1"/>
  <c r="F16" i="8"/>
  <c r="F12" i="8"/>
  <c r="F12" i="6"/>
  <c r="F12" i="16"/>
  <c r="F26" i="16"/>
  <c r="I26" i="16" s="1"/>
  <c r="F16" i="16"/>
  <c r="F16" i="7"/>
  <c r="F26" i="7"/>
  <c r="I26" i="7" s="1"/>
  <c r="F16" i="5"/>
  <c r="F26" i="5"/>
  <c r="I26" i="5" s="1"/>
  <c r="F24" i="7"/>
  <c r="F16" i="12"/>
  <c r="F26" i="12"/>
  <c r="I26" i="12" s="1"/>
  <c r="F12" i="11"/>
  <c r="F12" i="5"/>
  <c r="F26" i="6"/>
  <c r="I26" i="6" s="1"/>
  <c r="F16" i="6"/>
  <c r="F12" i="7"/>
  <c r="F12" i="17"/>
  <c r="F16" i="17"/>
  <c r="F16" i="3" s="1"/>
  <c r="F26" i="17"/>
  <c r="I26" i="17" s="1"/>
  <c r="F16" i="11"/>
  <c r="F26" i="11"/>
  <c r="I26" i="11" s="1"/>
  <c r="F24" i="11"/>
  <c r="F24" i="5"/>
  <c r="F25" i="6"/>
  <c r="F17" i="3"/>
  <c r="F24" i="9"/>
  <c r="F26" i="9"/>
  <c r="I26" i="9" s="1"/>
  <c r="F25" i="10"/>
  <c r="F26" i="10"/>
  <c r="F25" i="17"/>
  <c r="F25" i="16"/>
  <c r="F13" i="3"/>
  <c r="F25" i="13"/>
  <c r="F24" i="13"/>
  <c r="F12" i="13"/>
  <c r="I12" i="13" s="1"/>
  <c r="F12" i="9"/>
  <c r="F25" i="9"/>
  <c r="F24" i="17"/>
  <c r="F24" i="10"/>
  <c r="F12" i="10"/>
  <c r="G7" i="3"/>
  <c r="F12" i="3" l="1"/>
  <c r="I26" i="10"/>
  <c r="F26" i="3"/>
  <c r="I26" i="3" s="1"/>
  <c r="F25" i="3"/>
  <c r="F24" i="16" l="1"/>
  <c r="F24" i="3" s="1"/>
  <c r="H27" i="19"/>
  <c r="I27" i="19" s="1"/>
  <c r="H25" i="19"/>
  <c r="I25" i="19" s="1"/>
  <c r="H24" i="19"/>
  <c r="I24" i="19" s="1"/>
  <c r="I21" i="19"/>
  <c r="I20" i="19"/>
  <c r="I17" i="19"/>
  <c r="I16" i="19"/>
  <c r="I13" i="19"/>
  <c r="I12" i="19"/>
  <c r="I11" i="19"/>
  <c r="H27" i="17"/>
  <c r="I27" i="17" s="1"/>
  <c r="H25" i="17"/>
  <c r="I25" i="17" s="1"/>
  <c r="H24" i="17"/>
  <c r="I24" i="17" s="1"/>
  <c r="I21" i="17"/>
  <c r="I20" i="17"/>
  <c r="I17" i="17"/>
  <c r="I16" i="17"/>
  <c r="I13" i="17"/>
  <c r="I12" i="17"/>
  <c r="I11" i="17"/>
  <c r="H27" i="16"/>
  <c r="I27" i="16" s="1"/>
  <c r="H25" i="16"/>
  <c r="I25" i="16" s="1"/>
  <c r="H24" i="16"/>
  <c r="H21" i="16"/>
  <c r="I21" i="16" s="1"/>
  <c r="H20" i="16"/>
  <c r="I20" i="16" s="1"/>
  <c r="I17" i="16"/>
  <c r="I16" i="16"/>
  <c r="I13" i="16"/>
  <c r="I12" i="16"/>
  <c r="I11" i="16"/>
  <c r="H27" i="13"/>
  <c r="I27" i="13" s="1"/>
  <c r="H25" i="13"/>
  <c r="I25" i="13" s="1"/>
  <c r="H24" i="13"/>
  <c r="I24" i="13" s="1"/>
  <c r="I21" i="13"/>
  <c r="I11" i="13"/>
  <c r="H27" i="12"/>
  <c r="I27" i="12" s="1"/>
  <c r="H25" i="12"/>
  <c r="I25" i="12" s="1"/>
  <c r="H24" i="12"/>
  <c r="I24" i="12" s="1"/>
  <c r="I21" i="12"/>
  <c r="I20" i="12"/>
  <c r="I17" i="12"/>
  <c r="I16" i="12"/>
  <c r="I13" i="12"/>
  <c r="I12" i="12"/>
  <c r="I11" i="12"/>
  <c r="H27" i="11"/>
  <c r="I27" i="11" s="1"/>
  <c r="H25" i="11"/>
  <c r="I25" i="11" s="1"/>
  <c r="H24" i="11"/>
  <c r="I24" i="11" s="1"/>
  <c r="I21" i="11"/>
  <c r="I20" i="11"/>
  <c r="I17" i="11"/>
  <c r="I16" i="11"/>
  <c r="I13" i="11"/>
  <c r="I12" i="11"/>
  <c r="I11" i="11"/>
  <c r="H27" i="10"/>
  <c r="I27" i="10" s="1"/>
  <c r="H25" i="10"/>
  <c r="I25" i="10" s="1"/>
  <c r="H24" i="10"/>
  <c r="I24" i="10" s="1"/>
  <c r="I21" i="10"/>
  <c r="I20" i="10"/>
  <c r="I17" i="10"/>
  <c r="I16" i="10"/>
  <c r="I13" i="10"/>
  <c r="I12" i="10"/>
  <c r="I11" i="10"/>
  <c r="H27" i="9"/>
  <c r="I27" i="9" s="1"/>
  <c r="H25" i="9"/>
  <c r="I25" i="9" s="1"/>
  <c r="H24" i="9"/>
  <c r="I24" i="9" s="1"/>
  <c r="I21" i="9"/>
  <c r="I20" i="9"/>
  <c r="I17" i="9"/>
  <c r="I16" i="9"/>
  <c r="I13" i="9"/>
  <c r="I12" i="9"/>
  <c r="I11" i="9"/>
  <c r="H27" i="8"/>
  <c r="I27" i="8" s="1"/>
  <c r="H25" i="8"/>
  <c r="I25" i="8" s="1"/>
  <c r="H24" i="8"/>
  <c r="I24" i="8" s="1"/>
  <c r="I21" i="8"/>
  <c r="I20" i="8"/>
  <c r="I17" i="8"/>
  <c r="I16" i="8"/>
  <c r="I13" i="8"/>
  <c r="I12" i="8"/>
  <c r="I11" i="8"/>
  <c r="H27" i="7"/>
  <c r="I27" i="7" s="1"/>
  <c r="H25" i="7"/>
  <c r="I25" i="7" s="1"/>
  <c r="H24" i="7"/>
  <c r="I24" i="7" s="1"/>
  <c r="I21" i="7"/>
  <c r="I20" i="7"/>
  <c r="I17" i="7"/>
  <c r="I16" i="7"/>
  <c r="I13" i="7"/>
  <c r="I12" i="7"/>
  <c r="I11" i="7"/>
  <c r="H27" i="6"/>
  <c r="I27" i="6" s="1"/>
  <c r="H25" i="6"/>
  <c r="I25" i="6" s="1"/>
  <c r="H24" i="6"/>
  <c r="I24" i="6" s="1"/>
  <c r="I21" i="6"/>
  <c r="I20" i="6"/>
  <c r="I17" i="6"/>
  <c r="I16" i="6"/>
  <c r="I13" i="6"/>
  <c r="I12" i="6"/>
  <c r="I11" i="6"/>
  <c r="H27" i="5"/>
  <c r="I27" i="5" s="1"/>
  <c r="H25" i="5"/>
  <c r="I25" i="5" s="1"/>
  <c r="H24" i="5"/>
  <c r="I24" i="5" s="1"/>
  <c r="I21" i="5"/>
  <c r="I20" i="5"/>
  <c r="I17" i="5"/>
  <c r="I16" i="5"/>
  <c r="I13" i="5"/>
  <c r="I12" i="5"/>
  <c r="I11" i="5"/>
  <c r="I24" i="16" l="1"/>
  <c r="I14" i="19"/>
  <c r="I28" i="5"/>
  <c r="I22" i="5"/>
  <c r="I18" i="5"/>
  <c r="I28" i="7"/>
  <c r="I22" i="7"/>
  <c r="I18" i="7"/>
  <c r="I28" i="6"/>
  <c r="I22" i="6"/>
  <c r="I18" i="6"/>
  <c r="I28" i="9"/>
  <c r="I22" i="9"/>
  <c r="I18" i="9"/>
  <c r="I28" i="11"/>
  <c r="I22" i="11"/>
  <c r="I18" i="11"/>
  <c r="I28" i="12"/>
  <c r="I22" i="12"/>
  <c r="I18" i="12"/>
  <c r="I22" i="10"/>
  <c r="I18" i="10"/>
  <c r="I14" i="10"/>
  <c r="I22" i="13"/>
  <c r="I18" i="13"/>
  <c r="I14" i="13"/>
  <c r="I22" i="16"/>
  <c r="I18" i="16"/>
  <c r="I28" i="8"/>
  <c r="I22" i="8"/>
  <c r="I18" i="8"/>
  <c r="I14" i="8"/>
  <c r="I22" i="17"/>
  <c r="I18" i="17"/>
  <c r="I14" i="17"/>
  <c r="I18" i="19"/>
  <c r="I22" i="19"/>
  <c r="I28" i="19"/>
  <c r="I28" i="17"/>
  <c r="I14" i="16"/>
  <c r="I28" i="13"/>
  <c r="I14" i="12"/>
  <c r="I14" i="11"/>
  <c r="I28" i="10"/>
  <c r="I14" i="9"/>
  <c r="I14" i="7"/>
  <c r="I14" i="6"/>
  <c r="I14" i="5"/>
  <c r="I28" i="16" l="1"/>
  <c r="G30" i="16" s="1"/>
  <c r="G30" i="8"/>
  <c r="J14" i="8" s="1"/>
  <c r="G30" i="5"/>
  <c r="G30" i="17"/>
  <c r="J14" i="17" s="1"/>
  <c r="G30" i="19"/>
  <c r="J14" i="19" s="1"/>
  <c r="G30" i="13"/>
  <c r="G30" i="12"/>
  <c r="G30" i="11"/>
  <c r="G30" i="10"/>
  <c r="G30" i="9"/>
  <c r="G30" i="7"/>
  <c r="G30" i="6"/>
  <c r="J22" i="8" l="1"/>
  <c r="J18" i="8"/>
  <c r="J28" i="8"/>
  <c r="J28" i="17"/>
  <c r="J22" i="17"/>
  <c r="J18" i="17"/>
  <c r="J18" i="19"/>
  <c r="J22" i="19"/>
  <c r="J28" i="19"/>
  <c r="J22" i="16"/>
  <c r="J18" i="16"/>
  <c r="J28" i="16"/>
  <c r="J14" i="16"/>
  <c r="J14" i="13"/>
  <c r="J22" i="13"/>
  <c r="J18" i="13"/>
  <c r="J28" i="13"/>
  <c r="J22" i="12"/>
  <c r="J18" i="12"/>
  <c r="J28" i="12"/>
  <c r="J14" i="12"/>
  <c r="J22" i="11"/>
  <c r="J28" i="11"/>
  <c r="J18" i="11"/>
  <c r="J14" i="11"/>
  <c r="J14" i="10"/>
  <c r="J22" i="10"/>
  <c r="J18" i="10"/>
  <c r="J28" i="10"/>
  <c r="J22" i="9"/>
  <c r="J28" i="9"/>
  <c r="J18" i="9"/>
  <c r="J14" i="9"/>
  <c r="J22" i="7"/>
  <c r="J28" i="7"/>
  <c r="J18" i="7"/>
  <c r="J14" i="7"/>
  <c r="J18" i="6"/>
  <c r="J28" i="6"/>
  <c r="J22" i="6"/>
  <c r="J14" i="6"/>
  <c r="J22" i="5"/>
  <c r="J28" i="5"/>
  <c r="J18" i="5"/>
  <c r="J14" i="5"/>
  <c r="J30" i="8" l="1"/>
  <c r="J30" i="17"/>
  <c r="J30" i="19"/>
  <c r="J30" i="5"/>
  <c r="J30" i="7"/>
  <c r="J30" i="6"/>
  <c r="J30" i="9"/>
  <c r="J30" i="12"/>
  <c r="J30" i="16"/>
  <c r="J30" i="13"/>
  <c r="J30" i="11"/>
  <c r="J30" i="10"/>
  <c r="H11" i="3"/>
  <c r="I11" i="3" s="1"/>
  <c r="H25" i="3"/>
  <c r="I25" i="3" s="1"/>
  <c r="H27" i="3"/>
  <c r="H24" i="3"/>
  <c r="I24" i="3" s="1"/>
  <c r="H21" i="3"/>
  <c r="I21" i="3" s="1"/>
  <c r="H20" i="3"/>
  <c r="I20" i="3" s="1"/>
  <c r="H17" i="3"/>
  <c r="I17" i="3" s="1"/>
  <c r="H16" i="3"/>
  <c r="I16" i="3" s="1"/>
  <c r="H13" i="3"/>
  <c r="I13" i="3" s="1"/>
  <c r="H12" i="3"/>
  <c r="I12" i="3" s="1"/>
  <c r="I27" i="3" l="1"/>
  <c r="R27" i="3"/>
  <c r="I28" i="3"/>
  <c r="I22" i="3"/>
  <c r="I18" i="3"/>
  <c r="I14" i="3"/>
  <c r="G30" i="3" l="1"/>
  <c r="J14" i="3" l="1"/>
  <c r="J18" i="3"/>
  <c r="J22" i="3"/>
  <c r="J28" i="3"/>
  <c r="J30" i="3" l="1"/>
</calcChain>
</file>

<file path=xl/sharedStrings.xml><?xml version="1.0" encoding="utf-8"?>
<sst xmlns="http://schemas.openxmlformats.org/spreadsheetml/2006/main" count="1091" uniqueCount="91">
  <si>
    <t>ITENS</t>
  </si>
  <si>
    <t>Unidade</t>
  </si>
  <si>
    <t>DESCRIÇÕES</t>
  </si>
  <si>
    <t>1.1</t>
  </si>
  <si>
    <t>2.1</t>
  </si>
  <si>
    <t>m²</t>
  </si>
  <si>
    <t>2.2</t>
  </si>
  <si>
    <t>3.1</t>
  </si>
  <si>
    <t>3.2</t>
  </si>
  <si>
    <t>m³</t>
  </si>
  <si>
    <t>Quantid</t>
  </si>
  <si>
    <t>4.1</t>
  </si>
  <si>
    <t>4.2</t>
  </si>
  <si>
    <t>PREFEITURA MUNICIPAL DE MORRETES- PARANÁ</t>
  </si>
  <si>
    <t>Emenda          : 19620004                  MAPA</t>
  </si>
  <si>
    <t>Modalidade : Contrato de Repasse</t>
  </si>
  <si>
    <t>PLANILHA ORÇAMENTÁRIA GLOBAL</t>
  </si>
  <si>
    <t>1.2</t>
  </si>
  <si>
    <t>1.3</t>
  </si>
  <si>
    <t>Escavação e carga em material de segunda categoria</t>
  </si>
  <si>
    <t>Limpeza de terreno mecanizada-camada vegetal</t>
  </si>
  <si>
    <t>m³/km</t>
  </si>
  <si>
    <t>BDI:                  25 %</t>
  </si>
  <si>
    <t>Programa       : 22000201300011 - Paraná - OGU 2013</t>
  </si>
  <si>
    <t>Empreendimento: Restauração de Estradas Vicinais Rurais no Município de Morretes-PR.</t>
  </si>
  <si>
    <t>Referência de Preços: SINAPI-PR - JUN/2014 - DER-PR MARÇO 2012.</t>
  </si>
  <si>
    <t>CÓDIGO</t>
  </si>
  <si>
    <t>REFERENCIA</t>
  </si>
  <si>
    <t>Escavação de valas material primeira categoria
 até 1,5m. (sangras)</t>
  </si>
  <si>
    <t>1.  SERVIÇOS PRELIMINARES</t>
  </si>
  <si>
    <t>2.  TERRAPLENAGEM</t>
  </si>
  <si>
    <t>3.   DRENAGEM</t>
  </si>
  <si>
    <t>4.   PAVIMENTAÇÃO</t>
  </si>
  <si>
    <t>R$. Unit.</t>
  </si>
  <si>
    <t>R$ Unit.
Com BDI</t>
  </si>
  <si>
    <t xml:space="preserve"> R$ TOTAL</t>
  </si>
  <si>
    <t>4.3</t>
  </si>
  <si>
    <t>Configuração geométrica de plataforma, para
 revestimento primário</t>
  </si>
  <si>
    <t>%  COEF</t>
  </si>
  <si>
    <t>SUB TOTAL ITEM 01</t>
  </si>
  <si>
    <t>TOTAL GERAL</t>
  </si>
  <si>
    <t>SUB TOTAL ITEM 02</t>
  </si>
  <si>
    <t>SUB TOTAL ITEM 03</t>
  </si>
  <si>
    <t>SUB TOTAL ITEM 04</t>
  </si>
  <si>
    <t>Placas de Obras (OGU de n2,00m x 1,00m e acompanhamentos de 1,00m x 0,80m)</t>
  </si>
  <si>
    <t>m2</t>
  </si>
  <si>
    <t>Escarificação, regularização e compac. do sub-leito</t>
  </si>
  <si>
    <t>Escavação mec. de valas (solo com água) até 1,5 m 
(limpeza de valas)</t>
  </si>
  <si>
    <t>Morretes, 12 de dezembro de 2014</t>
  </si>
  <si>
    <t>EMILIANA FIGUEIRA LIMA</t>
  </si>
  <si>
    <t>CAU-PR N° A25739-7</t>
  </si>
  <si>
    <t>Vinculada à RRT n° 3032682 CAU-PR</t>
  </si>
  <si>
    <t>Transporte comercial com caminhão basculante 6 m³ 
(Revest. Primário) DMT=28,87 km</t>
  </si>
  <si>
    <t xml:space="preserve">Extenção:     </t>
  </si>
  <si>
    <t xml:space="preserve">Área:             </t>
  </si>
  <si>
    <t xml:space="preserve">Extenção:      </t>
  </si>
  <si>
    <t xml:space="preserve">Área:            </t>
  </si>
  <si>
    <t>ESTRADA RURAL DA COLONIA MARQUES</t>
  </si>
  <si>
    <t xml:space="preserve">Área:              </t>
  </si>
  <si>
    <t>ESTRADA RURAL DO SARAPIÁ</t>
  </si>
  <si>
    <t>ESTRADA RURAL DO MORRO ALTO</t>
  </si>
  <si>
    <t>ESTRADA RURAL DA AMERICA DE BAIXO E AMERICA DE CIMA</t>
  </si>
  <si>
    <t>ESTRADA RURAL DA FARTURA</t>
  </si>
  <si>
    <t xml:space="preserve">Extenção:  </t>
  </si>
  <si>
    <t>ESTRADA RURAL DO ANHAIA</t>
  </si>
  <si>
    <t>m</t>
  </si>
  <si>
    <t>ESTRADA DO MUNDO NOVO DO ANHAIA</t>
  </si>
  <si>
    <t xml:space="preserve">Área:           </t>
  </si>
  <si>
    <t xml:space="preserve">  m².</t>
  </si>
  <si>
    <t>ESTRADA RURAL DO CARAMBIÚ</t>
  </si>
  <si>
    <t xml:space="preserve"> m².</t>
  </si>
  <si>
    <t>ESTRADA RURAL DO MUNDO NOVO DO SAQUAREMA</t>
  </si>
  <si>
    <t xml:space="preserve">   m².</t>
  </si>
  <si>
    <t>ESTRADA RURAL DO CRUZEIRO</t>
  </si>
  <si>
    <t>ESTRADA RURAL DO ITAPERUÇÚ</t>
  </si>
  <si>
    <t>m².</t>
  </si>
  <si>
    <t>ESTRADA RURAL DO 32</t>
  </si>
  <si>
    <t xml:space="preserve">Extenção:   </t>
  </si>
  <si>
    <r>
      <t>m</t>
    </r>
    <r>
      <rPr>
        <b/>
        <sz val="11"/>
        <color theme="1"/>
        <rFont val="Calibri"/>
        <family val="2"/>
        <scheme val="minor"/>
      </rPr>
      <t>²</t>
    </r>
  </si>
  <si>
    <t>Serviços Topográficos para pavimentação, inclusive nota de serviços, acompanhamento e greide</t>
  </si>
  <si>
    <t>Base com solo estabilizado sem mistura, compactação 100% proctor normal, inclusive escavação, carga e transporte de solo
 revestimento primário</t>
  </si>
  <si>
    <t>Plataforma:</t>
  </si>
  <si>
    <t xml:space="preserve">Plataforma: </t>
  </si>
  <si>
    <t xml:space="preserve">Área: </t>
  </si>
  <si>
    <t>73822/002</t>
  </si>
  <si>
    <t>74209/001</t>
  </si>
  <si>
    <t>SINAPI OUT/14</t>
  </si>
  <si>
    <t>DER-PR SET/14</t>
  </si>
  <si>
    <r>
      <t xml:space="preserve">Referência de Preços: </t>
    </r>
    <r>
      <rPr>
        <sz val="8"/>
        <color theme="1"/>
        <rFont val="Calibri"/>
        <family val="2"/>
        <scheme val="minor"/>
      </rPr>
      <t>SINAPI-PR - OUT/2014 (DATA PREÇOS 10/2014 - DER-PR SET/2014 = (DESONERADO).</t>
    </r>
  </si>
  <si>
    <t>4.4</t>
  </si>
  <si>
    <t>Defensa simples semi-maleável c/ espaçador e calço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</si>
</sst>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0.00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3">
    <xf numFmtId="0" fontId="0" fillId="0" borderId="0" xfId="0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1" fillId="0" borderId="3" xfId="0" applyFont="1" applyBorder="1" applyAlignment="1">
      <alignment horizontal="left"/>
    </xf>
    <xf numFmtId="43" fontId="0" fillId="0" borderId="13" xfId="1" applyFont="1" applyBorder="1" applyAlignment="1">
      <alignment horizontal="center"/>
    </xf>
    <xf numFmtId="43" fontId="0" fillId="0" borderId="0" xfId="1" applyFont="1" applyBorder="1" applyAlignment="1">
      <alignment horizontal="left"/>
    </xf>
    <xf numFmtId="43" fontId="0" fillId="0" borderId="7" xfId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43" fontId="1" fillId="0" borderId="7" xfId="1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0" fillId="0" borderId="0" xfId="1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1" fillId="0" borderId="3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5" xfId="0" applyFont="1" applyBorder="1" applyAlignment="1"/>
    <xf numFmtId="0" fontId="0" fillId="0" borderId="7" xfId="0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4" fontId="0" fillId="0" borderId="9" xfId="0" applyNumberFormat="1" applyBorder="1" applyAlignment="1"/>
    <xf numFmtId="4" fontId="1" fillId="0" borderId="7" xfId="0" applyNumberFormat="1" applyFont="1" applyBorder="1" applyAlignment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1" fillId="0" borderId="15" xfId="0" applyNumberFormat="1" applyFont="1" applyBorder="1" applyAlignment="1"/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43" fontId="6" fillId="0" borderId="13" xfId="1" applyFont="1" applyBorder="1" applyAlignment="1"/>
    <xf numFmtId="4" fontId="6" fillId="0" borderId="7" xfId="0" applyNumberFormat="1" applyFont="1" applyBorder="1" applyAlignment="1"/>
    <xf numFmtId="43" fontId="6" fillId="0" borderId="7" xfId="1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4" fontId="0" fillId="0" borderId="0" xfId="0" applyNumberFormat="1"/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5" fillId="0" borderId="4" xfId="0" applyNumberFormat="1" applyFont="1" applyBorder="1" applyAlignment="1"/>
    <xf numFmtId="4" fontId="5" fillId="0" borderId="11" xfId="0" applyNumberFormat="1" applyFont="1" applyBorder="1" applyAlignment="1"/>
    <xf numFmtId="4" fontId="5" fillId="0" borderId="12" xfId="0" applyNumberFormat="1" applyFont="1" applyBorder="1" applyAlignment="1"/>
    <xf numFmtId="10" fontId="5" fillId="0" borderId="7" xfId="0" applyNumberFormat="1" applyFont="1" applyBorder="1" applyAlignment="1"/>
    <xf numFmtId="4" fontId="5" fillId="0" borderId="10" xfId="0" applyNumberFormat="1" applyFont="1" applyBorder="1" applyAlignment="1"/>
    <xf numFmtId="10" fontId="5" fillId="0" borderId="10" xfId="0" applyNumberFormat="1" applyFont="1" applyBorder="1" applyAlignment="1"/>
    <xf numFmtId="10" fontId="5" fillId="0" borderId="14" xfId="0" applyNumberFormat="1" applyFont="1" applyBorder="1" applyAlignment="1"/>
    <xf numFmtId="0" fontId="4" fillId="0" borderId="14" xfId="0" applyFont="1" applyBorder="1" applyAlignment="1"/>
    <xf numFmtId="10" fontId="5" fillId="0" borderId="7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0" fontId="4" fillId="0" borderId="14" xfId="0" applyNumberFormat="1" applyFont="1" applyBorder="1" applyAlignment="1"/>
    <xf numFmtId="0" fontId="5" fillId="0" borderId="0" xfId="0" applyFont="1"/>
    <xf numFmtId="0" fontId="1" fillId="0" borderId="0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" xfId="0" applyFont="1" applyBorder="1" applyAlignment="1">
      <alignment horizontal="left"/>
    </xf>
    <xf numFmtId="43" fontId="1" fillId="0" borderId="13" xfId="1" applyFont="1" applyBorder="1" applyAlignment="1">
      <alignment horizontal="center"/>
    </xf>
    <xf numFmtId="43" fontId="1" fillId="0" borderId="15" xfId="1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1" fillId="0" borderId="13" xfId="1" applyFont="1" applyBorder="1" applyAlignment="1">
      <alignment horizontal="center"/>
    </xf>
    <xf numFmtId="43" fontId="1" fillId="0" borderId="15" xfId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43" fontId="7" fillId="0" borderId="0" xfId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/>
    <xf numFmtId="4" fontId="5" fillId="0" borderId="6" xfId="0" applyNumberFormat="1" applyFont="1" applyBorder="1" applyAlignment="1"/>
    <xf numFmtId="10" fontId="5" fillId="0" borderId="6" xfId="0" applyNumberFormat="1" applyFont="1" applyBorder="1" applyAlignment="1"/>
    <xf numFmtId="0" fontId="1" fillId="0" borderId="6" xfId="0" applyFont="1" applyBorder="1" applyAlignment="1">
      <alignment horizontal="center"/>
    </xf>
    <xf numFmtId="0" fontId="4" fillId="0" borderId="6" xfId="0" applyFont="1" applyBorder="1" applyAlignment="1"/>
    <xf numFmtId="10" fontId="5" fillId="0" borderId="6" xfId="0" applyNumberFormat="1" applyFont="1" applyBorder="1" applyAlignment="1">
      <alignment horizontal="center"/>
    </xf>
    <xf numFmtId="10" fontId="4" fillId="0" borderId="11" xfId="0" applyNumberFormat="1" applyFont="1" applyBorder="1" applyAlignment="1"/>
    <xf numFmtId="4" fontId="6" fillId="0" borderId="6" xfId="0" applyNumberFormat="1" applyFont="1" applyBorder="1" applyAlignment="1"/>
    <xf numFmtId="0" fontId="4" fillId="0" borderId="3" xfId="0" applyFont="1" applyBorder="1" applyAlignment="1">
      <alignment horizontal="left"/>
    </xf>
    <xf numFmtId="43" fontId="0" fillId="0" borderId="0" xfId="0" applyNumberFormat="1"/>
    <xf numFmtId="0" fontId="6" fillId="0" borderId="13" xfId="0" applyFont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left"/>
    </xf>
    <xf numFmtId="43" fontId="0" fillId="0" borderId="7" xfId="1" applyFont="1" applyBorder="1" applyAlignment="1"/>
    <xf numFmtId="43" fontId="6" fillId="0" borderId="13" xfId="1" applyFont="1" applyBorder="1" applyAlignment="1">
      <alignment vertical="center"/>
    </xf>
    <xf numFmtId="43" fontId="6" fillId="0" borderId="7" xfId="1" applyFont="1" applyBorder="1" applyAlignment="1">
      <alignment horizontal="center" vertical="center"/>
    </xf>
    <xf numFmtId="43" fontId="0" fillId="0" borderId="13" xfId="1" applyFont="1" applyBorder="1" applyAlignment="1"/>
    <xf numFmtId="0" fontId="0" fillId="0" borderId="4" xfId="0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43" fontId="0" fillId="0" borderId="13" xfId="1" applyFont="1" applyBorder="1" applyAlignment="1">
      <alignment vertical="center"/>
    </xf>
    <xf numFmtId="43" fontId="0" fillId="0" borderId="7" xfId="1" applyFont="1" applyFill="1" applyBorder="1" applyAlignment="1">
      <alignment vertical="center"/>
    </xf>
    <xf numFmtId="43" fontId="0" fillId="0" borderId="7" xfId="1" applyFont="1" applyBorder="1" applyAlignment="1">
      <alignment horizontal="center" vertical="center"/>
    </xf>
    <xf numFmtId="43" fontId="1" fillId="0" borderId="7" xfId="1" applyFont="1" applyBorder="1" applyAlignment="1"/>
    <xf numFmtId="43" fontId="0" fillId="0" borderId="13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/>
    <xf numFmtId="43" fontId="0" fillId="0" borderId="0" xfId="1" applyFont="1"/>
    <xf numFmtId="4" fontId="5" fillId="0" borderId="1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3" xfId="0" applyBorder="1" applyAlignment="1">
      <alignment horizontal="left" vertical="center"/>
    </xf>
    <xf numFmtId="43" fontId="3" fillId="0" borderId="7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43" fontId="6" fillId="0" borderId="0" xfId="1" applyFont="1"/>
    <xf numFmtId="0" fontId="3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0" fontId="0" fillId="0" borderId="0" xfId="2" applyNumberFormat="1" applyFont="1"/>
    <xf numFmtId="0" fontId="5" fillId="0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1" applyFont="1" applyAlignment="1">
      <alignment vertical="center"/>
    </xf>
    <xf numFmtId="164" fontId="0" fillId="0" borderId="0" xfId="2" applyNumberFormat="1" applyFont="1"/>
    <xf numFmtId="43" fontId="0" fillId="0" borderId="0" xfId="1" applyFont="1" applyFill="1" applyBorder="1" applyAlignment="1">
      <alignment vertical="center"/>
    </xf>
    <xf numFmtId="43" fontId="0" fillId="0" borderId="0" xfId="1" applyFont="1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0" xfId="0" applyNumberFormat="1" applyBorder="1"/>
    <xf numFmtId="43" fontId="0" fillId="0" borderId="0" xfId="1" applyFont="1" applyBorder="1"/>
    <xf numFmtId="43" fontId="8" fillId="0" borderId="0" xfId="1" applyFont="1" applyAlignment="1">
      <alignment horizontal="center"/>
    </xf>
    <xf numFmtId="165" fontId="0" fillId="0" borderId="0" xfId="1" applyNumberFormat="1" applyFont="1"/>
    <xf numFmtId="166" fontId="0" fillId="0" borderId="0" xfId="2" applyNumberFormat="1" applyFont="1"/>
    <xf numFmtId="43" fontId="1" fillId="0" borderId="13" xfId="1" applyFont="1" applyBorder="1" applyAlignment="1">
      <alignment horizontal="center"/>
    </xf>
    <xf numFmtId="43" fontId="1" fillId="0" borderId="15" xfId="1" applyFont="1" applyBorder="1" applyAlignment="1">
      <alignment horizontal="center"/>
    </xf>
    <xf numFmtId="43" fontId="1" fillId="0" borderId="14" xfId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1"/>
  <sheetViews>
    <sheetView tabSelected="1" topLeftCell="C25" zoomScale="80" zoomScaleNormal="80" workbookViewId="0">
      <selection activeCell="M36" sqref="M36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.140625" customWidth="1"/>
    <col min="6" max="6" width="14.7109375" style="18" customWidth="1"/>
    <col min="7" max="7" width="12.28515625" customWidth="1"/>
    <col min="8" max="8" width="9.7109375" customWidth="1"/>
    <col min="9" max="9" width="12.7109375" customWidth="1"/>
    <col min="10" max="11" width="6.85546875" style="69" customWidth="1"/>
    <col min="12" max="12" width="16.28515625" customWidth="1"/>
    <col min="13" max="13" width="16" customWidth="1"/>
    <col min="14" max="14" width="12.140625" customWidth="1"/>
    <col min="15" max="15" width="11.5703125" bestFit="1" customWidth="1"/>
    <col min="16" max="16" width="11.140625" customWidth="1"/>
    <col min="17" max="17" width="15.85546875" customWidth="1"/>
    <col min="18" max="18" width="18.7109375" customWidth="1"/>
  </cols>
  <sheetData>
    <row r="2" spans="1:13" x14ac:dyDescent="0.25">
      <c r="A2" s="7" t="s">
        <v>13</v>
      </c>
      <c r="B2" s="23"/>
      <c r="C2" s="23"/>
      <c r="D2" s="2"/>
      <c r="E2" s="2"/>
      <c r="F2" s="13"/>
      <c r="G2" s="2"/>
      <c r="H2" s="19"/>
      <c r="I2" s="2"/>
      <c r="J2" s="55"/>
      <c r="K2" s="83"/>
    </row>
    <row r="3" spans="1:13" x14ac:dyDescent="0.25">
      <c r="A3" s="9" t="s">
        <v>23</v>
      </c>
      <c r="B3" s="22"/>
      <c r="C3" s="22"/>
      <c r="D3" s="3"/>
      <c r="E3" s="3"/>
      <c r="F3" s="16"/>
      <c r="G3" s="3"/>
      <c r="H3" s="20"/>
      <c r="I3" s="3"/>
      <c r="J3" s="56"/>
      <c r="K3" s="83"/>
    </row>
    <row r="4" spans="1:13" x14ac:dyDescent="0.25">
      <c r="A4" s="9" t="s">
        <v>14</v>
      </c>
      <c r="B4" s="22"/>
      <c r="C4" s="22"/>
      <c r="D4" s="3"/>
      <c r="E4" s="3"/>
      <c r="F4" s="16"/>
      <c r="G4" s="3"/>
      <c r="H4" s="20"/>
      <c r="I4" s="3"/>
      <c r="J4" s="56"/>
      <c r="K4" s="83"/>
    </row>
    <row r="5" spans="1:13" x14ac:dyDescent="0.25">
      <c r="A5" s="25" t="s">
        <v>15</v>
      </c>
      <c r="B5" s="22"/>
      <c r="C5" s="22"/>
      <c r="D5" s="3"/>
      <c r="E5" s="3"/>
      <c r="F5" s="11" t="s">
        <v>63</v>
      </c>
      <c r="G5" s="11">
        <f>'COLONIA MARQUES'!G5+SARAPIÁ!G5+'MORRO ALTO'!G5+'AMERICA BAIXO E AMER CIMA'!G5+FARTURA!G5+ANHAIA!G5+'MUNDO NOVO ANHAIA'!G5+CARAMBIÚ!G5+'NOVO MUNDO SAQUAREMA'!G5+CRUZEIRO!G5+ITAPERUÇU!G5+'ESTR.RURAL DO 32'!G5</f>
        <v>58292.290000000008</v>
      </c>
      <c r="H5" s="20" t="s">
        <v>65</v>
      </c>
      <c r="I5" s="3"/>
      <c r="J5" s="56"/>
      <c r="K5" s="83"/>
    </row>
    <row r="6" spans="1:13" x14ac:dyDescent="0.25">
      <c r="A6" s="25" t="s">
        <v>24</v>
      </c>
      <c r="B6" s="22"/>
      <c r="C6" s="22"/>
      <c r="D6" s="3"/>
      <c r="E6" s="3"/>
      <c r="F6" s="11" t="s">
        <v>82</v>
      </c>
      <c r="G6" s="11">
        <v>6</v>
      </c>
      <c r="H6" s="20" t="s">
        <v>65</v>
      </c>
      <c r="I6" s="3"/>
      <c r="J6" s="56"/>
      <c r="K6" s="83"/>
    </row>
    <row r="7" spans="1:13" x14ac:dyDescent="0.25">
      <c r="A7" s="9" t="s">
        <v>16</v>
      </c>
      <c r="B7" s="22"/>
      <c r="C7" s="22"/>
      <c r="D7" s="3"/>
      <c r="E7" s="3"/>
      <c r="F7" s="11" t="s">
        <v>83</v>
      </c>
      <c r="G7" s="11">
        <f>G5*G6</f>
        <v>349753.74000000005</v>
      </c>
      <c r="H7" s="20" t="s">
        <v>5</v>
      </c>
      <c r="I7" s="3"/>
      <c r="J7" s="56"/>
      <c r="K7" s="83"/>
    </row>
    <row r="8" spans="1:13" x14ac:dyDescent="0.25">
      <c r="A8" s="25" t="s">
        <v>88</v>
      </c>
      <c r="B8" s="22"/>
      <c r="C8" s="22"/>
      <c r="D8" s="3"/>
      <c r="E8" s="3"/>
      <c r="F8" s="11" t="s">
        <v>22</v>
      </c>
      <c r="G8" s="3"/>
      <c r="H8" s="20"/>
      <c r="I8" s="3"/>
      <c r="J8" s="56"/>
      <c r="K8" s="83"/>
    </row>
    <row r="9" spans="1:13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  <c r="K9" s="130"/>
    </row>
    <row r="10" spans="1:13" x14ac:dyDescent="0.25">
      <c r="A10" s="25"/>
      <c r="B10" s="36"/>
      <c r="C10" s="36"/>
      <c r="D10" s="36" t="s">
        <v>29</v>
      </c>
      <c r="E10" s="6"/>
      <c r="F10" s="15"/>
      <c r="G10" s="6"/>
      <c r="H10" s="22"/>
      <c r="I10" s="6"/>
      <c r="J10" s="57"/>
      <c r="K10" s="93"/>
    </row>
    <row r="11" spans="1:13" ht="30.75" customHeight="1" x14ac:dyDescent="0.25">
      <c r="A11" s="53" t="s">
        <v>3</v>
      </c>
      <c r="B11" s="45" t="s">
        <v>85</v>
      </c>
      <c r="C11" s="35" t="s">
        <v>86</v>
      </c>
      <c r="D11" s="95" t="s">
        <v>44</v>
      </c>
      <c r="E11" s="49" t="s">
        <v>5</v>
      </c>
      <c r="F11" s="99">
        <f>'COLONIA MARQUES'!F11+SARAPIÁ!F11+'MORRO ALTO'!F11+'AMERICA BAIXO E AMER CIMA'!F11+FARTURA!F11+ANHAIA!F11+'MUNDO NOVO ANHAIA'!F11+CARAMBIÚ!F11+'NOVO MUNDO SAQUAREMA'!F11+CRUZEIRO!F11+ITAPERUÇU!F11+'ESTR.RURAL DO 32'!F11</f>
        <v>33.6</v>
      </c>
      <c r="G11" s="100">
        <v>276.70999999999998</v>
      </c>
      <c r="H11" s="99">
        <f>(ROUNDDOWN(G11*1.25,2))</f>
        <v>345.88</v>
      </c>
      <c r="I11" s="99">
        <f>IF(F11=0,0,ROUNDDOWN(H11*F11,2))</f>
        <v>11621.56</v>
      </c>
      <c r="J11" s="51"/>
      <c r="K11" s="92"/>
    </row>
    <row r="12" spans="1:13" ht="27" customHeight="1" x14ac:dyDescent="0.25">
      <c r="A12" s="53" t="s">
        <v>17</v>
      </c>
      <c r="B12" s="45">
        <v>78472</v>
      </c>
      <c r="C12" s="35" t="s">
        <v>86</v>
      </c>
      <c r="D12" s="95" t="s">
        <v>79</v>
      </c>
      <c r="E12" s="53" t="s">
        <v>5</v>
      </c>
      <c r="F12" s="99">
        <f>'COLONIA MARQUES'!F12+SARAPIÁ!F12+'MORRO ALTO'!F12+'AMERICA BAIXO E AMER CIMA'!F12+FARTURA!F12+ANHAIA!F12+'MUNDO NOVO ANHAIA'!F12+CARAMBIÚ!F12+'NOVO MUNDO SAQUAREMA'!F12+CRUZEIRO!F12+ITAPERUÇU!F12+'ESTR.RURAL DO 32'!F12</f>
        <v>349753.74000000005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132906.42000000001</v>
      </c>
      <c r="J12" s="59"/>
      <c r="K12" s="86"/>
    </row>
    <row r="13" spans="1:13" x14ac:dyDescent="0.25">
      <c r="A13" s="49" t="s">
        <v>18</v>
      </c>
      <c r="B13" s="131" t="s">
        <v>84</v>
      </c>
      <c r="C13" s="34" t="s">
        <v>86</v>
      </c>
      <c r="D13" s="48" t="s">
        <v>20</v>
      </c>
      <c r="E13" s="49" t="s">
        <v>5</v>
      </c>
      <c r="F13" s="99">
        <f>'COLONIA MARQUES'!F13+SARAPIÁ!F13+'MORRO ALTO'!F13+'AMERICA BAIXO E AMER CIMA'!F13+FARTURA!F13+ANHAIA!F13+'MUNDO NOVO ANHAIA'!F13+CARAMBIÚ!F13+'NOVO MUNDO SAQUAREMA'!F13+CRUZEIRO!F13+ITAPERUÇU!F13+'ESTR.RURAL DO 32'!F13</f>
        <v>58292.290000000008</v>
      </c>
      <c r="G13" s="52">
        <v>0.51</v>
      </c>
      <c r="H13" s="99">
        <f>(ROUNDDOWN(G13*1.25,2))</f>
        <v>0.63</v>
      </c>
      <c r="I13" s="99">
        <f t="shared" si="0"/>
        <v>36724.14</v>
      </c>
      <c r="J13" s="60"/>
      <c r="K13" s="86"/>
    </row>
    <row r="14" spans="1:13" x14ac:dyDescent="0.25">
      <c r="A14" s="31"/>
      <c r="B14" s="47"/>
      <c r="C14" s="39"/>
      <c r="D14" s="29"/>
      <c r="E14" s="28"/>
      <c r="F14" s="148" t="s">
        <v>39</v>
      </c>
      <c r="G14" s="149"/>
      <c r="H14" s="150"/>
      <c r="I14" s="107">
        <f>SUM(I11:I13)</f>
        <v>181252.12</v>
      </c>
      <c r="J14" s="61">
        <f>I14/G30</f>
        <v>0.12096804781017791</v>
      </c>
      <c r="K14" s="87"/>
    </row>
    <row r="15" spans="1:13" x14ac:dyDescent="0.25">
      <c r="A15" s="74"/>
      <c r="B15" s="47"/>
      <c r="C15" s="47"/>
      <c r="D15" s="27" t="s">
        <v>30</v>
      </c>
      <c r="E15" s="4"/>
      <c r="F15" s="16"/>
      <c r="G15" s="47"/>
      <c r="H15" s="47"/>
      <c r="I15" s="40"/>
      <c r="J15" s="62"/>
      <c r="K15" s="86"/>
    </row>
    <row r="16" spans="1:13" x14ac:dyDescent="0.25">
      <c r="A16" s="8" t="s">
        <v>4</v>
      </c>
      <c r="B16" s="131">
        <v>52025</v>
      </c>
      <c r="C16" s="33" t="s">
        <v>87</v>
      </c>
      <c r="D16" s="2" t="s">
        <v>19</v>
      </c>
      <c r="E16" s="8" t="s">
        <v>9</v>
      </c>
      <c r="F16" s="99">
        <f>'COLONIA MARQUES'!F16+SARAPIÁ!F16+'MORRO ALTO'!F16+'AMERICA BAIXO E AMER CIMA'!F16+FARTURA!F16+ANHAIA!F16+'MUNDO NOVO ANHAIA'!F16+CARAMBIÚ!F16+'NOVO MUNDO SAQUAREMA'!F16+CRUZEIRO!F16+ITAPERUÇU!F16+'ESTR.RURAL DO 32'!F16</f>
        <v>13990.149600000001</v>
      </c>
      <c r="G16" s="12">
        <v>4.13</v>
      </c>
      <c r="H16" s="101">
        <f>(ROUNDDOWN(G16*1.25,2))</f>
        <v>5.16</v>
      </c>
      <c r="I16" s="101">
        <f>IF(F16=0,0,ROUNDDOWN(H16*F16,2))</f>
        <v>72189.17</v>
      </c>
      <c r="J16" s="58"/>
      <c r="K16" s="86"/>
      <c r="M16" s="94"/>
    </row>
    <row r="17" spans="1:18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99">
        <f>'COLONIA MARQUES'!F17+SARAPIÁ!F17+'MORRO ALTO'!F17+'AMERICA BAIXO E AMER CIMA'!F17+FARTURA!F17+ANHAIA!F17+'MUNDO NOVO ANHAIA'!F17+CARAMBIÚ!F17+'NOVO MUNDO SAQUAREMA'!F17+CRUZEIRO!F17+ITAPERUÇU!F17+'ESTR.RURAL DO 32'!F17</f>
        <v>410193.60200000001</v>
      </c>
      <c r="G17" s="106">
        <v>1.1100000000000001</v>
      </c>
      <c r="H17" s="104">
        <f>(ROUNDDOWN(G17*1.25,2))</f>
        <v>1.38</v>
      </c>
      <c r="I17" s="104">
        <f>IF(F17=0,0,ROUNDDOWN(H17*F17,2))</f>
        <v>566067.17000000004</v>
      </c>
      <c r="J17" s="60"/>
      <c r="K17" s="86"/>
    </row>
    <row r="18" spans="1:18" ht="18" customHeight="1" x14ac:dyDescent="0.25">
      <c r="A18" s="31"/>
      <c r="B18" s="136"/>
      <c r="C18" s="42"/>
      <c r="D18" s="43"/>
      <c r="E18" s="73"/>
      <c r="F18" s="148" t="s">
        <v>41</v>
      </c>
      <c r="G18" s="149"/>
      <c r="H18" s="150"/>
      <c r="I18" s="107">
        <f>SUM(I16:I17)</f>
        <v>638256.34000000008</v>
      </c>
      <c r="J18" s="63">
        <f>I18/G30</f>
        <v>0.42597362972785741</v>
      </c>
      <c r="K18" s="87"/>
    </row>
    <row r="19" spans="1:18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  <c r="K19" s="88"/>
    </row>
    <row r="20" spans="1:18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99">
        <f>'COLONIA MARQUES'!F20+SARAPIÁ!F20+'MORRO ALTO'!F20+'AMERICA BAIXO E AMER CIMA'!F20+FARTURA!F20+ANHAIA!F20+'MUNDO NOVO ANHAIA'!F20+CARAMBIÚ!F20+'NOVO MUNDO SAQUAREMA'!F20+CRUZEIRO!F20+ITAPERUÇU!F20+'ESTR.RURAL DO 32'!F20</f>
        <v>104.61000000000001</v>
      </c>
      <c r="G20" s="103">
        <v>10.49</v>
      </c>
      <c r="H20" s="104">
        <f>(ROUNDDOWN(G20*1.25,2))</f>
        <v>13.11</v>
      </c>
      <c r="I20" s="104">
        <f>IF(F20=0,0,ROUNDDOWN(H20*F20,2))</f>
        <v>1371.43</v>
      </c>
      <c r="J20" s="58"/>
      <c r="K20" s="86"/>
      <c r="M20" s="94"/>
    </row>
    <row r="21" spans="1:18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99">
        <f>'COLONIA MARQUES'!F21+SARAPIÁ!F21+'MORRO ALTO'!F21+'AMERICA BAIXO E AMER CIMA'!F21+FARTURA!F21+ANHAIA!F21+'MUNDO NOVO ANHAIA'!F21+CARAMBIÚ!F21+'NOVO MUNDO SAQUAREMA'!F21+CRUZEIRO!F21+ITAPERUÇU!F21+'ESTR.RURAL DO 32'!F21</f>
        <v>1720</v>
      </c>
      <c r="G21" s="103">
        <v>7.55</v>
      </c>
      <c r="H21" s="104">
        <f>(ROUNDDOWN(G21*1.25,2))</f>
        <v>9.43</v>
      </c>
      <c r="I21" s="104">
        <f>IF(F21=0,0,ROUNDDOWN(H21*F21,2))</f>
        <v>16219.6</v>
      </c>
      <c r="J21" s="60"/>
      <c r="K21" s="86"/>
      <c r="L21" s="94"/>
    </row>
    <row r="22" spans="1:18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17591.03</v>
      </c>
      <c r="J22" s="64">
        <f>I22/G30</f>
        <v>1.1740290585678522E-2</v>
      </c>
      <c r="K22" s="87"/>
    </row>
    <row r="23" spans="1:18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  <c r="K23" s="89"/>
    </row>
    <row r="24" spans="1:18" x14ac:dyDescent="0.25">
      <c r="A24" s="102" t="s">
        <v>11</v>
      </c>
      <c r="B24" s="133">
        <v>51113</v>
      </c>
      <c r="C24" s="34" t="s">
        <v>87</v>
      </c>
      <c r="D24" s="124" t="s">
        <v>46</v>
      </c>
      <c r="E24" s="38" t="s">
        <v>5</v>
      </c>
      <c r="F24" s="99">
        <f>'COLONIA MARQUES'!F24+SARAPIÁ!F24+'MORRO ALTO'!F24+'AMERICA BAIXO E AMER CIMA'!F24+FARTURA!F24+ANHAIA!F24+'MUNDO NOVO ANHAIA'!F24+CARAMBIÚ!F24+'NOVO MUNDO SAQUAREMA'!F24+CRUZEIRO!F24+ITAPERUÇU!F24+'ESTR.RURAL DO 32'!F24</f>
        <v>349753.74000000005</v>
      </c>
      <c r="G24" s="98">
        <v>0.7</v>
      </c>
      <c r="H24" s="104">
        <f>(ROUNDDOWN(G24*1.25,2))</f>
        <v>0.87</v>
      </c>
      <c r="I24" s="104">
        <f>IF(F24=0,0,ROUNDDOWN(H24*F24,2))</f>
        <v>304285.75</v>
      </c>
      <c r="J24" s="58"/>
      <c r="K24" s="86"/>
    </row>
    <row r="25" spans="1:18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99">
        <f>'COLONIA MARQUES'!F25+SARAPIÁ!F25+'MORRO ALTO'!F25+'AMERICA BAIXO E AMER CIMA'!F25+FARTURA!F25+ANHAIA!F25+'MUNDO NOVO ANHAIA'!F25+CARAMBIÚ!F25+'NOVO MUNDO SAQUAREMA'!F25+CRUZEIRO!F25+ITAPERUÇU!F25+'ESTR.RURAL DO 32'!F25</f>
        <v>17487.687000000002</v>
      </c>
      <c r="G25" s="103">
        <v>9.5299999999999994</v>
      </c>
      <c r="H25" s="104">
        <f>(ROUNDDOWN(G25*1.25,2))</f>
        <v>11.91</v>
      </c>
      <c r="I25" s="104">
        <f>IF(F25=0,0,ROUNDDOWN(H25*F25,2))</f>
        <v>208278.35</v>
      </c>
      <c r="J25" s="59"/>
      <c r="K25" s="86"/>
    </row>
    <row r="26" spans="1:18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99">
        <f>'COLONIA MARQUES'!F26+SARAPIÁ!F26+'MORRO ALTO'!F26+'AMERICA BAIXO E AMER CIMA'!F26+FARTURA!F26+ANHAIA!F26+'MUNDO NOVO ANHAIA'!F26+CARAMBIÚ!F26+'NOVO MUNDO SAQUAREMA'!F26+CRUZEIRO!F26+ITAPERUÇU!F26+'ESTR.RURAL DO 32'!F26</f>
        <v>327471.78000000003</v>
      </c>
      <c r="G26" s="105">
        <v>0.13</v>
      </c>
      <c r="H26" s="104">
        <f>(ROUNDDOWN(G26*1.25,2))</f>
        <v>0.16</v>
      </c>
      <c r="I26" s="104">
        <f>IF(F26=0,0,ROUNDDOWN(H26*F26,2))</f>
        <v>52395.48</v>
      </c>
      <c r="J26" s="59"/>
      <c r="K26" s="86"/>
    </row>
    <row r="27" spans="1:18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99">
        <f>'COLONIA MARQUES'!F27+SARAPIÁ!F27+'MORRO ALTO'!F27+'AMERICA BAIXO E AMER CIMA'!F27+FARTURA!F27+ANHAIA!F27+'MUNDO NOVO ANHAIA'!F27+CARAMBIÚ!F27+'NOVO MUNDO SAQUAREMA'!F27+CRUZEIRO!F27+ITAPERUÇU!F27+'ESTR.RURAL DO 32'!F27</f>
        <v>400</v>
      </c>
      <c r="G27" s="105">
        <v>192.58</v>
      </c>
      <c r="H27" s="104">
        <f>(ROUNDDOWN(G27*1.25,2))</f>
        <v>240.72</v>
      </c>
      <c r="I27" s="104">
        <f>IF(F27=0,0,ROUNDDOWN(H27*F27,2))</f>
        <v>96288</v>
      </c>
      <c r="J27" s="60"/>
      <c r="K27" s="86"/>
      <c r="M27" s="140"/>
      <c r="N27" s="140"/>
      <c r="O27" s="141"/>
      <c r="P27" s="142"/>
      <c r="Q27" s="143"/>
      <c r="R27" s="94">
        <f>Q27*1.25</f>
        <v>0</v>
      </c>
    </row>
    <row r="28" spans="1:18" x14ac:dyDescent="0.25">
      <c r="A28" s="96"/>
      <c r="B28" s="21"/>
      <c r="C28" s="21"/>
      <c r="D28" s="96"/>
      <c r="E28" s="5"/>
      <c r="F28" s="148" t="s">
        <v>43</v>
      </c>
      <c r="G28" s="149"/>
      <c r="H28" s="150"/>
      <c r="I28" s="107">
        <f>SUM(I24:I27)</f>
        <v>661247.57999999996</v>
      </c>
      <c r="J28" s="66">
        <f>I28/G30</f>
        <v>0.44131803187628615</v>
      </c>
      <c r="K28" s="90"/>
      <c r="M28" s="144"/>
      <c r="N28" s="143"/>
      <c r="O28" s="115"/>
      <c r="P28" s="115"/>
      <c r="Q28" s="115"/>
    </row>
    <row r="29" spans="1:18" x14ac:dyDescent="0.25">
      <c r="A29" s="47"/>
      <c r="B29" s="28"/>
      <c r="C29" s="28"/>
      <c r="D29" s="28"/>
      <c r="E29" s="28"/>
      <c r="F29" s="79"/>
      <c r="G29" s="80"/>
      <c r="H29" s="80"/>
      <c r="I29" s="46"/>
      <c r="J29" s="67"/>
      <c r="K29" s="67"/>
      <c r="O29" s="54"/>
    </row>
    <row r="30" spans="1:18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1498347.07</v>
      </c>
      <c r="H30" s="149"/>
      <c r="I30" s="149"/>
      <c r="J30" s="68">
        <f>J14+J18+J22+J28</f>
        <v>1</v>
      </c>
      <c r="K30" s="91"/>
      <c r="L30" s="54"/>
    </row>
    <row r="31" spans="1:18" x14ac:dyDescent="0.25">
      <c r="A31" s="27"/>
      <c r="B31" s="27"/>
      <c r="C31" s="27"/>
      <c r="D31" s="114" t="s">
        <v>49</v>
      </c>
      <c r="E31" s="27"/>
      <c r="F31" s="15"/>
      <c r="G31" s="27"/>
      <c r="H31" s="27"/>
      <c r="I31" s="27"/>
      <c r="J31" s="75"/>
      <c r="K31" s="84"/>
    </row>
    <row r="32" spans="1:18" x14ac:dyDescent="0.25">
      <c r="A32" s="115"/>
      <c r="B32" s="115"/>
      <c r="C32" s="115"/>
      <c r="D32" s="47" t="s">
        <v>50</v>
      </c>
      <c r="E32" s="115" t="s">
        <v>51</v>
      </c>
      <c r="F32" s="16"/>
      <c r="G32" s="115"/>
      <c r="H32" s="115"/>
      <c r="I32" s="115"/>
      <c r="J32" s="85"/>
      <c r="K32" s="85"/>
    </row>
    <row r="34" spans="9:14" x14ac:dyDescent="0.25">
      <c r="I34" s="129"/>
    </row>
    <row r="35" spans="9:14" x14ac:dyDescent="0.25">
      <c r="I35" s="94"/>
    </row>
    <row r="36" spans="9:14" x14ac:dyDescent="0.25">
      <c r="L36" s="116"/>
      <c r="M36" s="116"/>
      <c r="N36" s="134"/>
    </row>
    <row r="37" spans="9:14" x14ac:dyDescent="0.25">
      <c r="L37" s="54"/>
      <c r="M37" s="116"/>
      <c r="N37" s="134"/>
    </row>
    <row r="38" spans="9:14" x14ac:dyDescent="0.25">
      <c r="L38" s="94"/>
      <c r="M38" s="116"/>
      <c r="N38" s="134"/>
    </row>
    <row r="39" spans="9:14" x14ac:dyDescent="0.25">
      <c r="L39" s="116"/>
      <c r="M39" s="116"/>
    </row>
    <row r="40" spans="9:14" x14ac:dyDescent="0.25">
      <c r="L40" s="94"/>
      <c r="M40" s="116"/>
    </row>
    <row r="41" spans="9:14" x14ac:dyDescent="0.25">
      <c r="L41" s="116"/>
      <c r="M41" s="116"/>
    </row>
    <row r="43" spans="9:14" x14ac:dyDescent="0.25">
      <c r="L43" s="116"/>
      <c r="M43" s="116"/>
    </row>
    <row r="44" spans="9:14" x14ac:dyDescent="0.25">
      <c r="L44" s="116"/>
      <c r="M44" s="116"/>
    </row>
    <row r="45" spans="9:14" x14ac:dyDescent="0.25">
      <c r="L45" s="116"/>
      <c r="M45" s="116"/>
    </row>
    <row r="46" spans="9:14" x14ac:dyDescent="0.25">
      <c r="L46" s="116"/>
      <c r="M46" s="116"/>
      <c r="N46" s="147"/>
    </row>
    <row r="47" spans="9:14" x14ac:dyDescent="0.25">
      <c r="L47" s="116"/>
      <c r="M47" s="116"/>
      <c r="N47" s="147"/>
    </row>
    <row r="48" spans="9:14" x14ac:dyDescent="0.25">
      <c r="L48" s="94"/>
      <c r="M48" s="116"/>
      <c r="N48" s="139"/>
    </row>
    <row r="49" spans="12:14" x14ac:dyDescent="0.25">
      <c r="L49" s="94"/>
      <c r="M49" s="116"/>
      <c r="N49" s="139"/>
    </row>
    <row r="50" spans="12:14" x14ac:dyDescent="0.25">
      <c r="L50" s="94"/>
      <c r="M50" s="116"/>
      <c r="N50" s="139"/>
    </row>
    <row r="51" spans="12:14" x14ac:dyDescent="0.25">
      <c r="L51" s="116"/>
      <c r="M51" s="116"/>
    </row>
  </sheetData>
  <mergeCells count="6">
    <mergeCell ref="G30:I30"/>
    <mergeCell ref="F22:H22"/>
    <mergeCell ref="F28:H28"/>
    <mergeCell ref="I19:J19"/>
    <mergeCell ref="F14:H14"/>
    <mergeCell ref="F18:H18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zoomScale="80" zoomScaleNormal="8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.14062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ht="15.75" x14ac:dyDescent="0.25">
      <c r="A3" s="25" t="s">
        <v>23</v>
      </c>
      <c r="B3" s="27"/>
      <c r="C3" s="27"/>
      <c r="D3" s="26"/>
      <c r="E3" s="81" t="s">
        <v>71</v>
      </c>
      <c r="F3" s="82"/>
      <c r="G3" s="81"/>
      <c r="H3" s="81"/>
      <c r="I3" s="81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55</v>
      </c>
      <c r="G5" s="11">
        <v>4028.93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67</v>
      </c>
      <c r="G7" s="11">
        <f>G5*G6</f>
        <v>24173.579999999998</v>
      </c>
      <c r="H7" s="26" t="s">
        <v>72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0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24173.579999999998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9185.9599999999991</v>
      </c>
      <c r="J12" s="117"/>
    </row>
    <row r="13" spans="1:10" s="118" customFormat="1" x14ac:dyDescent="0.2">
      <c r="A13" s="53" t="s">
        <v>18</v>
      </c>
      <c r="B13" s="131" t="s">
        <v>84</v>
      </c>
      <c r="C13" s="34" t="s">
        <v>86</v>
      </c>
      <c r="D13" s="111" t="s">
        <v>20</v>
      </c>
      <c r="E13" s="53" t="s">
        <v>5</v>
      </c>
      <c r="F13" s="100">
        <f>G5</f>
        <v>4028.93</v>
      </c>
      <c r="G13" s="52">
        <v>0.51</v>
      </c>
      <c r="H13" s="99">
        <f>(ROUNDDOWN(G13*1.25,2))</f>
        <v>0.63</v>
      </c>
      <c r="I13" s="99">
        <f t="shared" si="0"/>
        <v>2538.2199999999998</v>
      </c>
      <c r="J13" s="119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12692.639999999998</v>
      </c>
      <c r="J14" s="61">
        <f>I14/G30</f>
        <v>0.12967762757895229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s="118" customFormat="1" x14ac:dyDescent="0.25">
      <c r="A16" s="38" t="s">
        <v>4</v>
      </c>
      <c r="B16" s="131">
        <v>52025</v>
      </c>
      <c r="C16" s="33" t="s">
        <v>87</v>
      </c>
      <c r="D16" s="110" t="s">
        <v>19</v>
      </c>
      <c r="E16" s="38" t="s">
        <v>9</v>
      </c>
      <c r="F16" s="12">
        <f>G7*0.04</f>
        <v>966.94319999999993</v>
      </c>
      <c r="G16" s="12">
        <v>4.13</v>
      </c>
      <c r="H16" s="104">
        <f>(ROUNDDOWN(G16*1.25,2))</f>
        <v>5.16</v>
      </c>
      <c r="I16" s="104">
        <f>IF(F16=0,0,ROUNDDOWN(H16*F16,2))</f>
        <v>4989.42</v>
      </c>
      <c r="J16" s="120"/>
    </row>
    <row r="17" spans="1:10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28202.51</v>
      </c>
      <c r="G17" s="106">
        <v>1.1100000000000001</v>
      </c>
      <c r="H17" s="104">
        <f>(ROUNDDOWN(G17*1.25,2))</f>
        <v>1.38</v>
      </c>
      <c r="I17" s="104">
        <f>IF(F17=0,0,ROUNDDOWN(H17*F17,2))</f>
        <v>38919.46</v>
      </c>
      <c r="J17" s="119"/>
    </row>
    <row r="18" spans="1:10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43908.88</v>
      </c>
      <c r="J18" s="63">
        <f>I18/G30</f>
        <v>0.44860638827296034</v>
      </c>
    </row>
    <row r="19" spans="1:10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0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7.38</v>
      </c>
      <c r="G20" s="103">
        <v>10.49</v>
      </c>
      <c r="H20" s="104">
        <f>(ROUNDDOWN(G20*1.25,2))</f>
        <v>13.11</v>
      </c>
      <c r="I20" s="104">
        <f>IF(F20=0,0,ROUNDDOWN(H20*F20,2))</f>
        <v>96.75</v>
      </c>
      <c r="J20" s="120"/>
    </row>
    <row r="21" spans="1:10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200</v>
      </c>
      <c r="G21" s="103">
        <v>7.55</v>
      </c>
      <c r="H21" s="104">
        <f>(ROUNDDOWN(G21*1.25,2))</f>
        <v>9.43</v>
      </c>
      <c r="I21" s="104">
        <f>IF(F21=0,0,ROUNDDOWN(H21*F21,2))</f>
        <v>1886</v>
      </c>
      <c r="J21" s="119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1982.75</v>
      </c>
      <c r="J22" s="64">
        <f>I22/G30</f>
        <v>2.0257276349299098E-2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s="118" customFormat="1" x14ac:dyDescent="0.25">
      <c r="A24" s="102" t="s">
        <v>11</v>
      </c>
      <c r="B24" s="133">
        <v>51113</v>
      </c>
      <c r="C24" s="34" t="s">
        <v>87</v>
      </c>
      <c r="D24" s="124" t="s">
        <v>46</v>
      </c>
      <c r="E24" s="38" t="s">
        <v>5</v>
      </c>
      <c r="F24" s="108">
        <f>G7</f>
        <v>24173.579999999998</v>
      </c>
      <c r="G24" s="98">
        <v>0.7</v>
      </c>
      <c r="H24" s="104">
        <f>(ROUNDDOWN(G24*1.25,2))</f>
        <v>0.87</v>
      </c>
      <c r="I24" s="104">
        <f>IF(F24=0,0,ROUNDDOWN(H24*F24,2))</f>
        <v>21031.01</v>
      </c>
      <c r="J24" s="120"/>
    </row>
    <row r="25" spans="1:10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1208.6789999999999</v>
      </c>
      <c r="G25" s="103">
        <v>9.5299999999999994</v>
      </c>
      <c r="H25" s="104">
        <f>(ROUNDDOWN(G25*1.25,2))</f>
        <v>11.91</v>
      </c>
      <c r="I25" s="104">
        <f>IF(F25=0,0,ROUNDDOWN(H25*F25,2))</f>
        <v>14395.36</v>
      </c>
      <c r="J25" s="117"/>
    </row>
    <row r="26" spans="1:10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24173.579999999998</v>
      </c>
      <c r="G26" s="105">
        <v>0.13</v>
      </c>
      <c r="H26" s="104">
        <f>(ROUNDDOWN(G26*1.25,2))</f>
        <v>0.16</v>
      </c>
      <c r="I26" s="104">
        <f>IF(F26=0,0,ROUNDDOWN(H26*F26,2))</f>
        <v>3867.77</v>
      </c>
      <c r="J26" s="117"/>
    </row>
    <row r="27" spans="1:10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/>
      <c r="G27" s="105">
        <v>192.58</v>
      </c>
      <c r="H27" s="104">
        <f>(ROUNDDOWN(G27*1.25,2))</f>
        <v>240.72</v>
      </c>
      <c r="I27" s="104">
        <f>IF(F27=0,0,ROUNDDOWN(H27*F27,2))</f>
        <v>0</v>
      </c>
      <c r="J27" s="119"/>
    </row>
    <row r="28" spans="1:10" x14ac:dyDescent="0.25">
      <c r="A28" s="96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39294.139999999992</v>
      </c>
      <c r="J28" s="66">
        <f>I28/G30</f>
        <v>0.40145870779878828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97878.409999999989</v>
      </c>
      <c r="H30" s="149"/>
      <c r="I30" s="149"/>
      <c r="J30" s="68">
        <f>J14+J18+J22+J28</f>
        <v>1</v>
      </c>
    </row>
    <row r="31" spans="1:10" x14ac:dyDescent="0.25">
      <c r="A31" s="27"/>
      <c r="B31" s="27"/>
      <c r="C31" s="27"/>
      <c r="D31" s="114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47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zoomScale="80" zoomScaleNormal="80" workbookViewId="0">
      <selection activeCell="Q27" sqref="Q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.570312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ht="15.75" x14ac:dyDescent="0.25">
      <c r="A3" s="25" t="s">
        <v>23</v>
      </c>
      <c r="B3" s="27"/>
      <c r="C3" s="27"/>
      <c r="D3" s="26"/>
      <c r="E3" s="81" t="s">
        <v>73</v>
      </c>
      <c r="F3" s="82"/>
      <c r="G3" s="81"/>
      <c r="H3" s="26"/>
      <c r="I3" s="26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53</v>
      </c>
      <c r="G5" s="11">
        <v>3969.92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67</v>
      </c>
      <c r="G7" s="11">
        <f>G5*G6</f>
        <v>23819.52</v>
      </c>
      <c r="H7" s="26" t="s">
        <v>68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0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23819.52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9051.41</v>
      </c>
      <c r="J12" s="117"/>
    </row>
    <row r="13" spans="1:10" s="118" customFormat="1" x14ac:dyDescent="0.2">
      <c r="A13" s="53" t="s">
        <v>18</v>
      </c>
      <c r="B13" s="131" t="s">
        <v>84</v>
      </c>
      <c r="C13" s="34" t="s">
        <v>86</v>
      </c>
      <c r="D13" s="111" t="s">
        <v>20</v>
      </c>
      <c r="E13" s="53" t="s">
        <v>5</v>
      </c>
      <c r="F13" s="100">
        <f>G5</f>
        <v>3969.92</v>
      </c>
      <c r="G13" s="52">
        <v>0.51</v>
      </c>
      <c r="H13" s="99">
        <f>(ROUNDDOWN(G13*1.25,2))</f>
        <v>0.63</v>
      </c>
      <c r="I13" s="99">
        <f t="shared" si="0"/>
        <v>2501.04</v>
      </c>
      <c r="J13" s="119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12520.91</v>
      </c>
      <c r="J14" s="61">
        <f>I14/G30</f>
        <v>0.1311799110681606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s="118" customFormat="1" x14ac:dyDescent="0.25">
      <c r="A16" s="38" t="s">
        <v>4</v>
      </c>
      <c r="B16" s="131">
        <v>52025</v>
      </c>
      <c r="C16" s="33" t="s">
        <v>87</v>
      </c>
      <c r="D16" s="110" t="s">
        <v>19</v>
      </c>
      <c r="E16" s="38" t="s">
        <v>9</v>
      </c>
      <c r="F16" s="12">
        <f>G7*0.04</f>
        <v>952.7808</v>
      </c>
      <c r="G16" s="12">
        <v>4.13</v>
      </c>
      <c r="H16" s="104">
        <f>(ROUNDDOWN(G16*1.25,2))</f>
        <v>5.16</v>
      </c>
      <c r="I16" s="104">
        <f>IF(F16=0,0,ROUNDDOWN(H16*F16,2))</f>
        <v>4916.34</v>
      </c>
      <c r="J16" s="120"/>
    </row>
    <row r="17" spans="1:10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27789.440000000002</v>
      </c>
      <c r="G17" s="106">
        <v>1.1100000000000001</v>
      </c>
      <c r="H17" s="104">
        <f>(ROUNDDOWN(G17*1.25,2))</f>
        <v>1.38</v>
      </c>
      <c r="I17" s="104">
        <f>IF(F17=0,0,ROUNDDOWN(H17*F17,2))</f>
        <v>38349.42</v>
      </c>
      <c r="J17" s="119"/>
    </row>
    <row r="18" spans="1:10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43265.759999999995</v>
      </c>
      <c r="J18" s="63">
        <f>I18/G30</f>
        <v>0.45328962104961856</v>
      </c>
    </row>
    <row r="19" spans="1:10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0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7.2</v>
      </c>
      <c r="G20" s="103">
        <v>10.49</v>
      </c>
      <c r="H20" s="104">
        <f>(ROUNDDOWN(G20*1.25,2))</f>
        <v>13.11</v>
      </c>
      <c r="I20" s="104">
        <f>IF(F20=0,0,ROUNDDOWN(H20*F20,2))</f>
        <v>94.39</v>
      </c>
      <c r="J20" s="120"/>
    </row>
    <row r="21" spans="1:10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90</v>
      </c>
      <c r="G21" s="103">
        <v>7.55</v>
      </c>
      <c r="H21" s="104">
        <f>(ROUNDDOWN(G21*1.25,2))</f>
        <v>9.43</v>
      </c>
      <c r="I21" s="104">
        <f>IF(F21=0,0,ROUNDDOWN(H21*F21,2))</f>
        <v>848.7</v>
      </c>
      <c r="J21" s="119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943.09</v>
      </c>
      <c r="J22" s="64">
        <f>I22/G30</f>
        <v>9.8806286707013771E-3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s="118" customFormat="1" x14ac:dyDescent="0.25">
      <c r="A24" s="102" t="s">
        <v>11</v>
      </c>
      <c r="B24" s="133">
        <v>51113</v>
      </c>
      <c r="C24" s="34" t="s">
        <v>87</v>
      </c>
      <c r="D24" s="124" t="s">
        <v>46</v>
      </c>
      <c r="E24" s="38" t="s">
        <v>5</v>
      </c>
      <c r="F24" s="108">
        <f>G7</f>
        <v>23819.52</v>
      </c>
      <c r="G24" s="98">
        <v>0.7</v>
      </c>
      <c r="H24" s="104">
        <f>(ROUNDDOWN(G24*1.25,2))</f>
        <v>0.87</v>
      </c>
      <c r="I24" s="104">
        <f>IF(F24=0,0,ROUNDDOWN(H24*F24,2))</f>
        <v>20722.98</v>
      </c>
      <c r="J24" s="120"/>
    </row>
    <row r="25" spans="1:10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1190.9760000000001</v>
      </c>
      <c r="G25" s="103">
        <v>9.5299999999999994</v>
      </c>
      <c r="H25" s="104">
        <f>(ROUNDDOWN(G25*1.25,2))</f>
        <v>11.91</v>
      </c>
      <c r="I25" s="104">
        <f>IF(F25=0,0,ROUNDDOWN(H25*F25,2))</f>
        <v>14184.52</v>
      </c>
      <c r="J25" s="117"/>
    </row>
    <row r="26" spans="1:10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23819.52</v>
      </c>
      <c r="G26" s="105">
        <v>0.13</v>
      </c>
      <c r="H26" s="104">
        <f>(ROUNDDOWN(G26*1.25,2))</f>
        <v>0.16</v>
      </c>
      <c r="I26" s="104">
        <f>IF(F26=0,0,ROUNDDOWN(H26*F26,2))</f>
        <v>3811.12</v>
      </c>
      <c r="J26" s="119"/>
    </row>
    <row r="27" spans="1:10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/>
      <c r="G27" s="105">
        <v>192.58</v>
      </c>
      <c r="H27" s="104">
        <f>(ROUNDDOWN(G27*1.25,2))</f>
        <v>240.72</v>
      </c>
      <c r="I27" s="104">
        <f>IF(F27=0,0,ROUNDDOWN(H27*F27,2))</f>
        <v>0</v>
      </c>
      <c r="J27" s="119"/>
    </row>
    <row r="28" spans="1:10" x14ac:dyDescent="0.25">
      <c r="A28" s="96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38718.620000000003</v>
      </c>
      <c r="J28" s="66">
        <f>I28/G30</f>
        <v>0.40564983921151937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95448.38</v>
      </c>
      <c r="H30" s="149"/>
      <c r="I30" s="149"/>
      <c r="J30" s="68">
        <f>J14+J18+J22+J28</f>
        <v>1</v>
      </c>
    </row>
    <row r="31" spans="1:10" x14ac:dyDescent="0.25">
      <c r="A31" s="27"/>
      <c r="B31" s="27"/>
      <c r="C31" s="27"/>
      <c r="D31" s="114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47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zoomScale="80" zoomScaleNormal="8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6.14062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ht="15.75" x14ac:dyDescent="0.25">
      <c r="A3" s="25" t="s">
        <v>23</v>
      </c>
      <c r="B3" s="27"/>
      <c r="C3" s="27"/>
      <c r="D3" s="26"/>
      <c r="E3" s="81" t="s">
        <v>74</v>
      </c>
      <c r="F3" s="82"/>
      <c r="G3" s="81"/>
      <c r="H3" s="26"/>
      <c r="I3" s="26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53</v>
      </c>
      <c r="G5" s="11">
        <v>2410.08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56</v>
      </c>
      <c r="G7" s="11">
        <f>G5*G6</f>
        <v>14460.48</v>
      </c>
      <c r="H7" s="26" t="s">
        <v>75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0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14460.48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5494.98</v>
      </c>
      <c r="J12" s="117"/>
    </row>
    <row r="13" spans="1:10" s="118" customFormat="1" x14ac:dyDescent="0.2">
      <c r="A13" s="53" t="s">
        <v>18</v>
      </c>
      <c r="B13" s="131" t="s">
        <v>84</v>
      </c>
      <c r="C13" s="34" t="s">
        <v>86</v>
      </c>
      <c r="D13" s="111" t="s">
        <v>20</v>
      </c>
      <c r="E13" s="53" t="s">
        <v>5</v>
      </c>
      <c r="F13" s="100">
        <f>G5</f>
        <v>2410.08</v>
      </c>
      <c r="G13" s="52">
        <v>0.51</v>
      </c>
      <c r="H13" s="99">
        <f>(ROUNDDOWN(G13*1.25,2))</f>
        <v>0.63</v>
      </c>
      <c r="I13" s="99">
        <f t="shared" si="0"/>
        <v>1518.35</v>
      </c>
      <c r="J13" s="119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7981.7899999999991</v>
      </c>
      <c r="J14" s="61">
        <f>I14/G30</f>
        <v>0.1362910044887399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s="118" customFormat="1" x14ac:dyDescent="0.25">
      <c r="A16" s="38" t="s">
        <v>4</v>
      </c>
      <c r="B16" s="131">
        <v>52025</v>
      </c>
      <c r="C16" s="33" t="s">
        <v>87</v>
      </c>
      <c r="D16" s="110" t="s">
        <v>19</v>
      </c>
      <c r="E16" s="38" t="s">
        <v>9</v>
      </c>
      <c r="F16" s="12">
        <f>G7*0.04</f>
        <v>578.41920000000005</v>
      </c>
      <c r="G16" s="12">
        <v>4.13</v>
      </c>
      <c r="H16" s="104">
        <f>(ROUNDDOWN(G16*1.25,2))</f>
        <v>5.16</v>
      </c>
      <c r="I16" s="104">
        <f>IF(F16=0,0,ROUNDDOWN(H16*F16,2))</f>
        <v>2984.64</v>
      </c>
      <c r="J16" s="120"/>
    </row>
    <row r="17" spans="1:10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16870.559999999998</v>
      </c>
      <c r="G17" s="106">
        <v>1.1100000000000001</v>
      </c>
      <c r="H17" s="104">
        <f>(ROUNDDOWN(G17*1.25,2))</f>
        <v>1.38</v>
      </c>
      <c r="I17" s="104">
        <f>IF(F17=0,0,ROUNDDOWN(H17*F17,2))</f>
        <v>23281.37</v>
      </c>
      <c r="J17" s="119"/>
    </row>
    <row r="18" spans="1:10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26266.01</v>
      </c>
      <c r="J18" s="63">
        <f>I18/G30</f>
        <v>0.44849850557472537</v>
      </c>
    </row>
    <row r="19" spans="1:10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0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4.32</v>
      </c>
      <c r="G20" s="103">
        <v>10.49</v>
      </c>
      <c r="H20" s="104">
        <f>(ROUNDDOWN(G20*1.25,2))</f>
        <v>13.11</v>
      </c>
      <c r="I20" s="104">
        <f>IF(F20=0,0,ROUNDDOWN(H20*F20,2))</f>
        <v>56.63</v>
      </c>
      <c r="J20" s="120"/>
    </row>
    <row r="21" spans="1:10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80</v>
      </c>
      <c r="G21" s="103">
        <v>7.55</v>
      </c>
      <c r="H21" s="104">
        <f>(ROUNDDOWN(G21*1.25,2))</f>
        <v>9.43</v>
      </c>
      <c r="I21" s="104">
        <f>IF(F21=0,0,ROUNDDOWN(H21*F21,2))</f>
        <v>754.4</v>
      </c>
      <c r="J21" s="119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811.03</v>
      </c>
      <c r="J22" s="64">
        <f>I22/G30</f>
        <v>1.3848534397735687E-2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x14ac:dyDescent="0.25">
      <c r="A24" s="1" t="s">
        <v>11</v>
      </c>
      <c r="B24" s="133">
        <v>51113</v>
      </c>
      <c r="C24" s="34" t="s">
        <v>87</v>
      </c>
      <c r="D24" s="97" t="s">
        <v>46</v>
      </c>
      <c r="E24" s="24" t="s">
        <v>5</v>
      </c>
      <c r="F24" s="10">
        <f>G7</f>
        <v>14460.48</v>
      </c>
      <c r="G24" s="98">
        <v>0.7</v>
      </c>
      <c r="H24" s="101">
        <f>(ROUNDDOWN(G24*1.25,2))</f>
        <v>0.87</v>
      </c>
      <c r="I24" s="101">
        <f>IF(F24=0,0,ROUNDDOWN(H24*F24,2))</f>
        <v>12580.61</v>
      </c>
      <c r="J24" s="58"/>
    </row>
    <row r="25" spans="1:10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723.024</v>
      </c>
      <c r="G25" s="103">
        <v>9.5299999999999994</v>
      </c>
      <c r="H25" s="104">
        <f>(ROUNDDOWN(G25*1.25,2))</f>
        <v>11.91</v>
      </c>
      <c r="I25" s="104">
        <f>IF(F25=0,0,ROUNDDOWN(H25*F25,2))</f>
        <v>8611.2099999999991</v>
      </c>
      <c r="J25" s="117"/>
    </row>
    <row r="26" spans="1:10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14460.48</v>
      </c>
      <c r="G26" s="105">
        <v>0.13</v>
      </c>
      <c r="H26" s="104">
        <f>(ROUNDDOWN(G26*1.25,2))</f>
        <v>0.16</v>
      </c>
      <c r="I26" s="104">
        <f>IF(F26=0,0,ROUNDDOWN(H26*F26,2))</f>
        <v>2313.67</v>
      </c>
      <c r="J26" s="117"/>
    </row>
    <row r="27" spans="1:10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/>
      <c r="G27" s="105">
        <v>192.58</v>
      </c>
      <c r="H27" s="104">
        <f>(ROUNDDOWN(G27*1.25,2))</f>
        <v>240.72</v>
      </c>
      <c r="I27" s="104">
        <f>IF(F27=0,0,ROUNDDOWN(H27*F27,2))</f>
        <v>0</v>
      </c>
      <c r="J27" s="119"/>
    </row>
    <row r="28" spans="1:10" x14ac:dyDescent="0.25">
      <c r="A28" s="78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23505.489999999998</v>
      </c>
      <c r="J28" s="66">
        <f>I28/G30</f>
        <v>0.40136195553879905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58564.319999999992</v>
      </c>
      <c r="H30" s="149"/>
      <c r="I30" s="149"/>
      <c r="J30" s="68">
        <f>J14+J18+J22+J28</f>
        <v>1</v>
      </c>
    </row>
    <row r="31" spans="1:10" x14ac:dyDescent="0.25">
      <c r="A31" s="27"/>
      <c r="B31" s="27"/>
      <c r="C31" s="27"/>
      <c r="D31" s="121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122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zoomScale="80" zoomScaleNormal="8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.14062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ht="15.75" x14ac:dyDescent="0.25">
      <c r="A3" s="25" t="s">
        <v>23</v>
      </c>
      <c r="B3" s="27"/>
      <c r="C3" s="27"/>
      <c r="D3" s="26"/>
      <c r="E3" s="81" t="s">
        <v>76</v>
      </c>
      <c r="F3" s="82"/>
      <c r="G3" s="26"/>
      <c r="H3" s="26"/>
      <c r="I3" s="26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77</v>
      </c>
      <c r="G5" s="11">
        <v>3714.66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58</v>
      </c>
      <c r="G7" s="11">
        <f>G5*G6</f>
        <v>22287.96</v>
      </c>
      <c r="H7" s="26" t="s">
        <v>70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0" s="118" customFormat="1" ht="28.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22287.96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8469.42</v>
      </c>
      <c r="J12" s="117"/>
    </row>
    <row r="13" spans="1:10" s="118" customFormat="1" x14ac:dyDescent="0.2">
      <c r="A13" s="53" t="s">
        <v>18</v>
      </c>
      <c r="B13" s="131" t="s">
        <v>84</v>
      </c>
      <c r="C13" s="34" t="s">
        <v>86</v>
      </c>
      <c r="D13" s="111" t="s">
        <v>20</v>
      </c>
      <c r="E13" s="53" t="s">
        <v>5</v>
      </c>
      <c r="F13" s="100">
        <f>G5</f>
        <v>3714.66</v>
      </c>
      <c r="G13" s="52">
        <v>0.51</v>
      </c>
      <c r="H13" s="99">
        <f>(ROUNDDOWN(G13*1.25,2))</f>
        <v>0.63</v>
      </c>
      <c r="I13" s="99">
        <f t="shared" si="0"/>
        <v>2340.23</v>
      </c>
      <c r="J13" s="119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11778.11</v>
      </c>
      <c r="J14" s="61">
        <f>I14/G30</f>
        <v>0.13702410801372975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s="118" customFormat="1" x14ac:dyDescent="0.25">
      <c r="A16" s="38" t="s">
        <v>4</v>
      </c>
      <c r="B16" s="131">
        <v>52025</v>
      </c>
      <c r="C16" s="33" t="s">
        <v>87</v>
      </c>
      <c r="D16" s="110" t="s">
        <v>19</v>
      </c>
      <c r="E16" s="38" t="s">
        <v>9</v>
      </c>
      <c r="F16" s="12">
        <f>G7*0.04</f>
        <v>891.51839999999993</v>
      </c>
      <c r="G16" s="12">
        <v>4.13</v>
      </c>
      <c r="H16" s="104">
        <f>(ROUNDDOWN(G16*1.25,2))</f>
        <v>5.16</v>
      </c>
      <c r="I16" s="104">
        <f>IF(F16=0,0,ROUNDDOWN(H16*F16,2))</f>
        <v>4600.2299999999996</v>
      </c>
      <c r="J16" s="120"/>
    </row>
    <row r="17" spans="1:10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26002.62</v>
      </c>
      <c r="G17" s="106">
        <v>1.1100000000000001</v>
      </c>
      <c r="H17" s="104">
        <f>(ROUNDDOWN(G17*1.25,2))</f>
        <v>1.38</v>
      </c>
      <c r="I17" s="104">
        <f>IF(F17=0,0,ROUNDDOWN(H17*F17,2))</f>
        <v>35883.61</v>
      </c>
      <c r="J17" s="119"/>
    </row>
    <row r="18" spans="1:10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40483.839999999997</v>
      </c>
      <c r="J18" s="63">
        <f>I18/G30</f>
        <v>0.4709806637033066</v>
      </c>
    </row>
    <row r="19" spans="1:10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0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6.68</v>
      </c>
      <c r="G20" s="103">
        <v>10.49</v>
      </c>
      <c r="H20" s="104">
        <f>(ROUNDDOWN(G20*1.25,2))</f>
        <v>13.11</v>
      </c>
      <c r="I20" s="104">
        <f>IF(F20=0,0,ROUNDDOWN(H20*F20,2))</f>
        <v>87.57</v>
      </c>
      <c r="J20" s="120"/>
    </row>
    <row r="21" spans="1:10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100</v>
      </c>
      <c r="G21" s="103">
        <v>7.55</v>
      </c>
      <c r="H21" s="104">
        <f>(ROUNDDOWN(G21*1.25,2))</f>
        <v>9.43</v>
      </c>
      <c r="I21" s="104">
        <f>IF(F21=0,0,ROUNDDOWN(H21*F21,2))</f>
        <v>943</v>
      </c>
      <c r="J21" s="119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1030.57</v>
      </c>
      <c r="J22" s="64">
        <f>I22/G30</f>
        <v>1.1989439306960918E-2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s="118" customFormat="1" x14ac:dyDescent="0.25">
      <c r="A24" s="102" t="s">
        <v>11</v>
      </c>
      <c r="B24" s="133">
        <v>51113</v>
      </c>
      <c r="C24" s="34" t="s">
        <v>87</v>
      </c>
      <c r="D24" s="124" t="s">
        <v>46</v>
      </c>
      <c r="E24" s="38" t="s">
        <v>5</v>
      </c>
      <c r="F24" s="108">
        <f>G7</f>
        <v>22287.96</v>
      </c>
      <c r="G24" s="98">
        <v>0.7</v>
      </c>
      <c r="H24" s="104">
        <f>(ROUNDDOWN(G24*1.25,2))</f>
        <v>0.87</v>
      </c>
      <c r="I24" s="104">
        <f>IF(F24=0,0,ROUNDDOWN(H24*F24,2))</f>
        <v>19390.52</v>
      </c>
      <c r="J24" s="120"/>
    </row>
    <row r="25" spans="1:10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1114.3979999999999</v>
      </c>
      <c r="G25" s="103">
        <v>9.5299999999999994</v>
      </c>
      <c r="H25" s="104">
        <f>(ROUNDDOWN(G25*1.25,2))</f>
        <v>11.91</v>
      </c>
      <c r="I25" s="104">
        <f>IF(F25=0,0,ROUNDDOWN(H25*F25,2))</f>
        <v>13272.48</v>
      </c>
      <c r="J25" s="117"/>
    </row>
    <row r="26" spans="1:10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G6</f>
        <v>6</v>
      </c>
      <c r="G26" s="105">
        <v>0.13</v>
      </c>
      <c r="H26" s="104">
        <f>(ROUNDDOWN(G26*1.25,2))</f>
        <v>0.16</v>
      </c>
      <c r="I26" s="104">
        <f>IF(F26=0,0,ROUNDDOWN(H26*F26,2))</f>
        <v>0.96</v>
      </c>
      <c r="J26" s="117"/>
    </row>
    <row r="27" spans="1:10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/>
      <c r="G27" s="105">
        <v>192.58</v>
      </c>
      <c r="H27" s="104">
        <f>(ROUNDDOWN(G27*1.25,2))</f>
        <v>240.72</v>
      </c>
      <c r="I27" s="104">
        <f>IF(F27=0,0,ROUNDDOWN(H27*F27,2))</f>
        <v>0</v>
      </c>
      <c r="J27" s="119"/>
    </row>
    <row r="28" spans="1:10" x14ac:dyDescent="0.25">
      <c r="A28" s="78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32663.96</v>
      </c>
      <c r="J28" s="66">
        <f>I28/G30</f>
        <v>0.38000578897600273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85956.479999999996</v>
      </c>
      <c r="H30" s="149"/>
      <c r="I30" s="149"/>
      <c r="J30" s="68">
        <f>J14+J18+J22+J28</f>
        <v>1</v>
      </c>
    </row>
    <row r="31" spans="1:10" x14ac:dyDescent="0.25">
      <c r="A31" s="27"/>
      <c r="B31" s="27"/>
      <c r="C31" s="27"/>
      <c r="D31" s="114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47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zoomScale="60" zoomScaleNormal="6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" customWidth="1"/>
    <col min="6" max="6" width="14.7109375" style="18" customWidth="1"/>
    <col min="7" max="7" width="10.5703125" customWidth="1"/>
    <col min="8" max="8" width="9.7109375" customWidth="1"/>
    <col min="9" max="9" width="12.7109375" customWidth="1"/>
    <col min="10" max="10" width="6.85546875" style="69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ht="15.75" x14ac:dyDescent="0.25">
      <c r="A3" s="25" t="s">
        <v>23</v>
      </c>
      <c r="B3" s="27"/>
      <c r="C3" s="27"/>
      <c r="D3" s="26"/>
      <c r="E3" s="81" t="s">
        <v>57</v>
      </c>
      <c r="F3" s="82"/>
      <c r="G3" s="81"/>
      <c r="H3" s="81"/>
      <c r="I3" s="26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55</v>
      </c>
      <c r="G5" s="11">
        <f>3540+2433.38</f>
        <v>5973.38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56</v>
      </c>
      <c r="G7" s="11">
        <f>G5*G6</f>
        <v>35840.28</v>
      </c>
      <c r="H7" s="26" t="s">
        <v>78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59"/>
    </row>
    <row r="12" spans="1:10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35840.28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13619.3</v>
      </c>
      <c r="J12" s="59"/>
    </row>
    <row r="13" spans="1:10" x14ac:dyDescent="0.25">
      <c r="A13" s="53" t="s">
        <v>18</v>
      </c>
      <c r="B13" s="131" t="s">
        <v>84</v>
      </c>
      <c r="C13" s="34" t="s">
        <v>86</v>
      </c>
      <c r="D13" s="111" t="s">
        <v>20</v>
      </c>
      <c r="E13" s="53" t="s">
        <v>5</v>
      </c>
      <c r="F13" s="100">
        <f>G5</f>
        <v>5973.38</v>
      </c>
      <c r="G13" s="52">
        <v>0.51</v>
      </c>
      <c r="H13" s="99">
        <f>(ROUNDDOWN(G13*1.25,2))</f>
        <v>0.63</v>
      </c>
      <c r="I13" s="99">
        <f t="shared" si="0"/>
        <v>3763.22</v>
      </c>
      <c r="J13" s="60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18350.98</v>
      </c>
      <c r="J14" s="61">
        <f>I14/G30</f>
        <v>0.10074204770471366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x14ac:dyDescent="0.25">
      <c r="A16" s="24" t="s">
        <v>4</v>
      </c>
      <c r="B16" s="131">
        <v>52025</v>
      </c>
      <c r="C16" s="33" t="s">
        <v>87</v>
      </c>
      <c r="D16" s="29" t="s">
        <v>19</v>
      </c>
      <c r="E16" s="24" t="s">
        <v>9</v>
      </c>
      <c r="F16" s="12">
        <f>G7*0.04</f>
        <v>1433.6112000000001</v>
      </c>
      <c r="G16" s="12">
        <v>4.13</v>
      </c>
      <c r="H16" s="101">
        <f>(ROUNDDOWN(G16*1.25,2))</f>
        <v>5.16</v>
      </c>
      <c r="I16" s="101">
        <f>IF(F16=0,0,ROUNDDOWN(H16*F16,2))</f>
        <v>7397.43</v>
      </c>
      <c r="J16" s="58"/>
    </row>
    <row r="17" spans="1:10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41813.660000000003</v>
      </c>
      <c r="G17" s="106">
        <v>1.1100000000000001</v>
      </c>
      <c r="H17" s="104">
        <f>(ROUNDDOWN(G17*1.25,2))</f>
        <v>1.38</v>
      </c>
      <c r="I17" s="104">
        <f>IF(F17=0,0,ROUNDDOWN(H17*F17,2))</f>
        <v>57702.85</v>
      </c>
      <c r="J17" s="60"/>
    </row>
    <row r="18" spans="1:10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65100.28</v>
      </c>
      <c r="J18" s="63">
        <f>I18/G30</f>
        <v>0.35738339387597923</v>
      </c>
    </row>
    <row r="19" spans="1:10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0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10.8</v>
      </c>
      <c r="G20" s="103">
        <v>10.49</v>
      </c>
      <c r="H20" s="104">
        <f>(ROUNDDOWN(G20*1.25,2))</f>
        <v>13.11</v>
      </c>
      <c r="I20" s="104">
        <f>IF(F20=0,0,ROUNDDOWN(H20*F20,2))</f>
        <v>141.58000000000001</v>
      </c>
      <c r="J20" s="58"/>
    </row>
    <row r="21" spans="1:10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190</v>
      </c>
      <c r="G21" s="103">
        <v>7.55</v>
      </c>
      <c r="H21" s="104">
        <f>(ROUNDDOWN(G21*1.25,2))</f>
        <v>9.43</v>
      </c>
      <c r="I21" s="104">
        <f>IF(F21=0,0,ROUNDDOWN(H21*F21,2))</f>
        <v>1791.7</v>
      </c>
      <c r="J21" s="60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1933.28</v>
      </c>
      <c r="J22" s="64">
        <f>I22/G30</f>
        <v>1.0613198095500558E-2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x14ac:dyDescent="0.25">
      <c r="A24" s="1" t="s">
        <v>11</v>
      </c>
      <c r="B24" s="133">
        <v>51113</v>
      </c>
      <c r="C24" s="34" t="s">
        <v>87</v>
      </c>
      <c r="D24" s="97" t="s">
        <v>46</v>
      </c>
      <c r="E24" s="24" t="s">
        <v>5</v>
      </c>
      <c r="F24" s="10">
        <f>G7</f>
        <v>35840.28</v>
      </c>
      <c r="G24" s="98">
        <v>0.7</v>
      </c>
      <c r="H24" s="101">
        <f>(ROUNDDOWN(G24*1.25,2))</f>
        <v>0.87</v>
      </c>
      <c r="I24" s="101">
        <f>IF(F24=0,0,ROUNDDOWN(H24*F24,2))</f>
        <v>31181.040000000001</v>
      </c>
      <c r="J24" s="58"/>
    </row>
    <row r="25" spans="1:10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1792.0140000000001</v>
      </c>
      <c r="G25" s="103">
        <v>9.5299999999999994</v>
      </c>
      <c r="H25" s="104">
        <f>(ROUNDDOWN(G25*1.25,2))</f>
        <v>11.91</v>
      </c>
      <c r="I25" s="104">
        <f>IF(F25=0,0,ROUNDDOWN(H25*F25,2))</f>
        <v>21342.880000000001</v>
      </c>
      <c r="J25" s="59"/>
    </row>
    <row r="26" spans="1:10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35840.28</v>
      </c>
      <c r="G26" s="105">
        <v>0.13</v>
      </c>
      <c r="H26" s="104">
        <f>(ROUNDDOWN(G26*1.25,2))</f>
        <v>0.16</v>
      </c>
      <c r="I26" s="104">
        <f>IF(F26=0,0,ROUNDDOWN(H26*F26,2))</f>
        <v>5734.44</v>
      </c>
      <c r="J26" s="59"/>
    </row>
    <row r="27" spans="1:10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>
        <v>160</v>
      </c>
      <c r="G27" s="105">
        <v>192.58</v>
      </c>
      <c r="H27" s="104">
        <f>(ROUNDDOWN(G27*1.25,2))</f>
        <v>240.72</v>
      </c>
      <c r="I27" s="104">
        <f>IF(F27=0,0,ROUNDDOWN(H27*F27,2))</f>
        <v>38515.199999999997</v>
      </c>
      <c r="J27" s="60"/>
    </row>
    <row r="28" spans="1:10" x14ac:dyDescent="0.25">
      <c r="A28" s="96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96773.56</v>
      </c>
      <c r="J28" s="66">
        <f>I28/G30</f>
        <v>0.53126136032380666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182158.09999999998</v>
      </c>
      <c r="H30" s="149"/>
      <c r="I30" s="149"/>
      <c r="J30" s="68">
        <f>J14+J18+J22+J28</f>
        <v>1</v>
      </c>
    </row>
    <row r="31" spans="1:10" x14ac:dyDescent="0.25">
      <c r="A31" s="27"/>
      <c r="B31" s="27"/>
      <c r="C31" s="27"/>
      <c r="D31" s="114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47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topLeftCell="A6" zoomScale="70" zoomScaleNormal="7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.140625" customWidth="1"/>
    <col min="6" max="6" width="13.570312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ht="15.75" x14ac:dyDescent="0.25">
      <c r="A3" s="25" t="s">
        <v>23</v>
      </c>
      <c r="B3" s="27"/>
      <c r="C3" s="27"/>
      <c r="D3" s="26"/>
      <c r="E3" s="81" t="s">
        <v>59</v>
      </c>
      <c r="F3" s="82"/>
      <c r="G3" s="81"/>
      <c r="H3" s="26"/>
      <c r="I3" s="26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53</v>
      </c>
      <c r="G5" s="11">
        <v>4465.1099999999997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58</v>
      </c>
      <c r="G7" s="11">
        <f>G5*G6</f>
        <v>26790.659999999996</v>
      </c>
      <c r="H7" s="26" t="s">
        <v>5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0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26790.659999999996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10180.450000000001</v>
      </c>
      <c r="J12" s="117"/>
    </row>
    <row r="13" spans="1:10" x14ac:dyDescent="0.25">
      <c r="A13" s="49" t="s">
        <v>18</v>
      </c>
      <c r="B13" s="131" t="s">
        <v>84</v>
      </c>
      <c r="C13" s="34" t="s">
        <v>86</v>
      </c>
      <c r="D13" s="48" t="s">
        <v>20</v>
      </c>
      <c r="E13" s="49" t="s">
        <v>5</v>
      </c>
      <c r="F13" s="52">
        <f>G5</f>
        <v>4465.1099999999997</v>
      </c>
      <c r="G13" s="52">
        <v>0.51</v>
      </c>
      <c r="H13" s="50">
        <f>(ROUNDDOWN(G13*1.25,2))</f>
        <v>0.63</v>
      </c>
      <c r="I13" s="50">
        <f t="shared" si="0"/>
        <v>2813.01</v>
      </c>
      <c r="J13" s="60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13961.92</v>
      </c>
      <c r="J14" s="61">
        <f>I14/G30</f>
        <v>0.11063629626671281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x14ac:dyDescent="0.25">
      <c r="A16" s="24" t="s">
        <v>4</v>
      </c>
      <c r="B16" s="131">
        <v>52025</v>
      </c>
      <c r="C16" s="33" t="s">
        <v>87</v>
      </c>
      <c r="D16" s="29" t="s">
        <v>19</v>
      </c>
      <c r="E16" s="24" t="s">
        <v>9</v>
      </c>
      <c r="F16" s="12">
        <f>G7*0.04</f>
        <v>1071.6263999999999</v>
      </c>
      <c r="G16" s="12">
        <v>4.13</v>
      </c>
      <c r="H16" s="101">
        <f>(ROUNDDOWN(G16*1.25,2))</f>
        <v>5.16</v>
      </c>
      <c r="I16" s="101">
        <f>IF(F16=0,0,ROUNDDOWN(H16*F16,2))</f>
        <v>5529.59</v>
      </c>
      <c r="J16" s="58"/>
    </row>
    <row r="17" spans="1:10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31255.769999999997</v>
      </c>
      <c r="G17" s="106">
        <v>1.1100000000000001</v>
      </c>
      <c r="H17" s="104">
        <f>(ROUNDDOWN(G17*1.25,2))</f>
        <v>1.38</v>
      </c>
      <c r="I17" s="104">
        <f>IF(F17=0,0,ROUNDDOWN(H17*F17,2))</f>
        <v>43132.959999999999</v>
      </c>
      <c r="J17" s="119"/>
    </row>
    <row r="18" spans="1:10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48662.55</v>
      </c>
      <c r="J18" s="63">
        <f>I18/G30</f>
        <v>0.38560916398989009</v>
      </c>
    </row>
    <row r="19" spans="1:10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0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8.1</v>
      </c>
      <c r="G20" s="103">
        <v>10.49</v>
      </c>
      <c r="H20" s="104">
        <f>(ROUNDDOWN(G20*1.25,2))</f>
        <v>13.11</v>
      </c>
      <c r="I20" s="104">
        <f>IF(F20=0,0,ROUNDDOWN(H20*F20,2))</f>
        <v>106.19</v>
      </c>
      <c r="J20" s="120"/>
    </row>
    <row r="21" spans="1:10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70</v>
      </c>
      <c r="G21" s="103">
        <v>7.55</v>
      </c>
      <c r="H21" s="104">
        <f>(ROUNDDOWN(G21*1.25,2))</f>
        <v>9.43</v>
      </c>
      <c r="I21" s="104">
        <f>IF(F21=0,0,ROUNDDOWN(H21*F21,2))</f>
        <v>660.1</v>
      </c>
      <c r="J21" s="119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766.29</v>
      </c>
      <c r="J22" s="64">
        <f>I22/G30</f>
        <v>6.0721940439580919E-3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x14ac:dyDescent="0.25">
      <c r="A24" s="1" t="s">
        <v>11</v>
      </c>
      <c r="B24" s="133">
        <v>51113</v>
      </c>
      <c r="C24" s="34" t="s">
        <v>87</v>
      </c>
      <c r="D24" s="97" t="s">
        <v>46</v>
      </c>
      <c r="E24" s="24" t="s">
        <v>5</v>
      </c>
      <c r="F24" s="10">
        <f>G7</f>
        <v>26790.659999999996</v>
      </c>
      <c r="G24" s="98">
        <v>0.7</v>
      </c>
      <c r="H24" s="101">
        <f>(ROUNDDOWN(G24*1.25,2))</f>
        <v>0.87</v>
      </c>
      <c r="I24" s="101">
        <f>IF(F24=0,0,ROUNDDOWN(H24*F24,2))</f>
        <v>23307.87</v>
      </c>
      <c r="J24" s="58"/>
    </row>
    <row r="25" spans="1:10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1339.5329999999999</v>
      </c>
      <c r="G25" s="103">
        <v>9.5299999999999994</v>
      </c>
      <c r="H25" s="104">
        <f>(ROUNDDOWN(G25*1.25,2))</f>
        <v>11.91</v>
      </c>
      <c r="I25" s="104">
        <f>IF(F25=0,0,ROUNDDOWN(H25*F25,2))</f>
        <v>15953.83</v>
      </c>
      <c r="J25" s="117"/>
    </row>
    <row r="26" spans="1:10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26790.659999999996</v>
      </c>
      <c r="G26" s="105">
        <v>0.13</v>
      </c>
      <c r="H26" s="104">
        <f>(ROUNDDOWN(G26*1.25,2))</f>
        <v>0.16</v>
      </c>
      <c r="I26" s="104">
        <f>IF(F26=0,0,ROUNDDOWN(H26*F26,2))</f>
        <v>4286.5</v>
      </c>
      <c r="J26" s="117"/>
    </row>
    <row r="27" spans="1:10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>
        <v>80</v>
      </c>
      <c r="G27" s="105">
        <v>192.58</v>
      </c>
      <c r="H27" s="104">
        <f>(ROUNDDOWN(G27*1.25,2))</f>
        <v>240.72</v>
      </c>
      <c r="I27" s="104">
        <f>IF(F27=0,0,ROUNDDOWN(H27*F27,2))</f>
        <v>19257.599999999999</v>
      </c>
      <c r="J27" s="119"/>
    </row>
    <row r="28" spans="1:10" x14ac:dyDescent="0.25">
      <c r="A28" s="78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62805.799999999996</v>
      </c>
      <c r="J28" s="66">
        <f>I28/G30</f>
        <v>0.49768234569943903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126196.56</v>
      </c>
      <c r="H30" s="149"/>
      <c r="I30" s="149"/>
      <c r="J30" s="68">
        <f>J14+J18+J22+J28</f>
        <v>1</v>
      </c>
    </row>
    <row r="31" spans="1:10" x14ac:dyDescent="0.25">
      <c r="A31" s="27"/>
      <c r="B31" s="27"/>
      <c r="C31" s="27"/>
      <c r="D31" s="114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47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topLeftCell="A7" zoomScale="80" zoomScaleNormal="8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.4257812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ht="15.75" x14ac:dyDescent="0.25">
      <c r="A3" s="25" t="s">
        <v>23</v>
      </c>
      <c r="B3" s="27"/>
      <c r="C3" s="27"/>
      <c r="D3" s="26"/>
      <c r="E3" s="81" t="s">
        <v>60</v>
      </c>
      <c r="F3" s="82"/>
      <c r="G3" s="81"/>
      <c r="H3" s="26"/>
      <c r="I3" s="26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53</v>
      </c>
      <c r="G5" s="11">
        <v>4528.92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82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54</v>
      </c>
      <c r="G7" s="11">
        <f>G5*G6</f>
        <v>27173.52</v>
      </c>
      <c r="H7" s="26" t="s">
        <v>5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59"/>
    </row>
    <row r="12" spans="1:10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27173.52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10325.93</v>
      </c>
      <c r="J12" s="59"/>
    </row>
    <row r="13" spans="1:10" x14ac:dyDescent="0.25">
      <c r="A13" s="49" t="s">
        <v>18</v>
      </c>
      <c r="B13" s="131" t="s">
        <v>84</v>
      </c>
      <c r="C13" s="34" t="s">
        <v>86</v>
      </c>
      <c r="D13" s="48" t="s">
        <v>20</v>
      </c>
      <c r="E13" s="49" t="s">
        <v>5</v>
      </c>
      <c r="F13" s="52">
        <f>G5</f>
        <v>4528.92</v>
      </c>
      <c r="G13" s="52">
        <v>0.51</v>
      </c>
      <c r="H13" s="50">
        <f>(ROUNDDOWN(G13*1.25,2))</f>
        <v>0.63</v>
      </c>
      <c r="I13" s="50">
        <f t="shared" si="0"/>
        <v>2853.21</v>
      </c>
      <c r="J13" s="60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14147.599999999999</v>
      </c>
      <c r="J14" s="61">
        <f>I14/G30</f>
        <v>0.12989709027983659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x14ac:dyDescent="0.25">
      <c r="A16" s="24" t="s">
        <v>4</v>
      </c>
      <c r="B16" s="131">
        <v>52025</v>
      </c>
      <c r="C16" s="33" t="s">
        <v>87</v>
      </c>
      <c r="D16" s="29" t="s">
        <v>19</v>
      </c>
      <c r="E16" s="24" t="s">
        <v>9</v>
      </c>
      <c r="F16" s="12">
        <f>G7*0.04</f>
        <v>1086.9408000000001</v>
      </c>
      <c r="G16" s="12">
        <v>4.13</v>
      </c>
      <c r="H16" s="101">
        <f>(ROUNDDOWN(G16*1.25,2))</f>
        <v>5.16</v>
      </c>
      <c r="I16" s="101">
        <f>IF(F16=0,0,ROUNDDOWN(H16*F16,2))</f>
        <v>5608.61</v>
      </c>
      <c r="J16" s="58"/>
    </row>
    <row r="17" spans="1:10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31702.440000000002</v>
      </c>
      <c r="G17" s="106">
        <v>1.1100000000000001</v>
      </c>
      <c r="H17" s="104">
        <f>(ROUNDDOWN(G17*1.25,2))</f>
        <v>1.38</v>
      </c>
      <c r="I17" s="104">
        <f>IF(F17=0,0,ROUNDDOWN(H17*F17,2))</f>
        <v>43749.36</v>
      </c>
      <c r="J17" s="60"/>
    </row>
    <row r="18" spans="1:10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49357.97</v>
      </c>
      <c r="J18" s="63">
        <f>I18/G30</f>
        <v>0.45318334453331077</v>
      </c>
    </row>
    <row r="19" spans="1:10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0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8.1</v>
      </c>
      <c r="G20" s="103">
        <v>10.49</v>
      </c>
      <c r="H20" s="104">
        <f>(ROUNDDOWN(G20*1.25,2))</f>
        <v>13.11</v>
      </c>
      <c r="I20" s="104">
        <f>IF(F20=0,0,ROUNDDOWN(H20*F20,2))</f>
        <v>106.19</v>
      </c>
      <c r="J20" s="58"/>
    </row>
    <row r="21" spans="1:10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120</v>
      </c>
      <c r="G21" s="103">
        <v>7.55</v>
      </c>
      <c r="H21" s="104">
        <f>(ROUNDDOWN(G21*1.25,2))</f>
        <v>9.43</v>
      </c>
      <c r="I21" s="104">
        <f>IF(F21=0,0,ROUNDDOWN(H21*F21,2))</f>
        <v>1131.5999999999999</v>
      </c>
      <c r="J21" s="60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1237.79</v>
      </c>
      <c r="J22" s="64">
        <f>I22/G30</f>
        <v>1.136484770402605E-2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x14ac:dyDescent="0.25">
      <c r="A24" s="1" t="s">
        <v>11</v>
      </c>
      <c r="B24" s="133">
        <v>51113</v>
      </c>
      <c r="C24" s="34" t="s">
        <v>87</v>
      </c>
      <c r="D24" s="97" t="s">
        <v>46</v>
      </c>
      <c r="E24" s="24" t="s">
        <v>5</v>
      </c>
      <c r="F24" s="10">
        <f>G7</f>
        <v>27173.52</v>
      </c>
      <c r="G24" s="98">
        <v>0.7</v>
      </c>
      <c r="H24" s="101">
        <f>(ROUNDDOWN(G24*1.25,2))</f>
        <v>0.87</v>
      </c>
      <c r="I24" s="101">
        <f>IF(F24=0,0,ROUNDDOWN(H24*F24,2))</f>
        <v>23640.959999999999</v>
      </c>
      <c r="J24" s="58"/>
    </row>
    <row r="25" spans="1:10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1358.6760000000002</v>
      </c>
      <c r="G25" s="103">
        <v>9.5299999999999994</v>
      </c>
      <c r="H25" s="104">
        <f>(ROUNDDOWN(G25*1.25,2))</f>
        <v>11.91</v>
      </c>
      <c r="I25" s="104">
        <f>IF(F25=0,0,ROUNDDOWN(H25*F25,2))</f>
        <v>16181.83</v>
      </c>
      <c r="J25" s="59"/>
    </row>
    <row r="26" spans="1:10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27173.52</v>
      </c>
      <c r="G26" s="105">
        <v>0.13</v>
      </c>
      <c r="H26" s="104">
        <f>(ROUNDDOWN(G26*1.25,2))</f>
        <v>0.16</v>
      </c>
      <c r="I26" s="104">
        <f>IF(F26=0,0,ROUNDDOWN(H26*F26,2))</f>
        <v>4347.76</v>
      </c>
      <c r="J26" s="59"/>
    </row>
    <row r="27" spans="1:10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/>
      <c r="G27" s="105">
        <v>192.58</v>
      </c>
      <c r="H27" s="104">
        <f>(ROUNDDOWN(G27*1.25,2))</f>
        <v>240.72</v>
      </c>
      <c r="I27" s="104">
        <f>IF(F27=0,0,ROUNDDOWN(H27*F27,2))</f>
        <v>0</v>
      </c>
      <c r="J27" s="60"/>
    </row>
    <row r="28" spans="1:10" x14ac:dyDescent="0.25">
      <c r="A28" s="96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44170.55</v>
      </c>
      <c r="J28" s="66">
        <f>I28/G30</f>
        <v>0.40555471748282657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108913.91</v>
      </c>
      <c r="H30" s="149"/>
      <c r="I30" s="149"/>
      <c r="J30" s="68">
        <f>J14+J18+J22+J28</f>
        <v>0.99999999999999989</v>
      </c>
    </row>
    <row r="31" spans="1:10" x14ac:dyDescent="0.25">
      <c r="A31" s="27"/>
      <c r="B31" s="27"/>
      <c r="C31" s="27"/>
      <c r="D31" s="121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122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2"/>
  <sheetViews>
    <sheetView zoomScale="80" zoomScaleNormal="8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8.4257812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  <col min="11" max="11" width="11.5703125" customWidth="1"/>
  </cols>
  <sheetData>
    <row r="2" spans="1:11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1" ht="15.75" x14ac:dyDescent="0.25">
      <c r="A3" s="25" t="s">
        <v>23</v>
      </c>
      <c r="B3" s="27"/>
      <c r="C3" s="27"/>
      <c r="D3" s="26"/>
      <c r="E3" s="81" t="s">
        <v>61</v>
      </c>
      <c r="F3" s="82"/>
      <c r="G3" s="81"/>
      <c r="H3" s="81"/>
      <c r="I3" s="81"/>
      <c r="J3" s="56"/>
    </row>
    <row r="4" spans="1:11" ht="15.75" x14ac:dyDescent="0.25">
      <c r="A4" s="25" t="s">
        <v>14</v>
      </c>
      <c r="B4" s="27"/>
      <c r="C4" s="27"/>
      <c r="D4" s="26"/>
      <c r="E4" s="81"/>
      <c r="F4" s="82"/>
      <c r="G4" s="81"/>
      <c r="H4" s="81"/>
      <c r="I4" s="81"/>
      <c r="J4" s="56"/>
    </row>
    <row r="5" spans="1:11" x14ac:dyDescent="0.25">
      <c r="A5" s="25" t="s">
        <v>15</v>
      </c>
      <c r="B5" s="27"/>
      <c r="C5" s="27"/>
      <c r="D5" s="26"/>
      <c r="E5" s="26"/>
      <c r="F5" s="11" t="s">
        <v>53</v>
      </c>
      <c r="G5" s="11">
        <v>10737.86</v>
      </c>
      <c r="H5" s="26" t="s">
        <v>65</v>
      </c>
      <c r="I5" s="26"/>
      <c r="J5" s="56"/>
    </row>
    <row r="6" spans="1:11" ht="15" customHeight="1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1" x14ac:dyDescent="0.25">
      <c r="A7" s="25" t="s">
        <v>16</v>
      </c>
      <c r="B7" s="27"/>
      <c r="C7" s="27"/>
      <c r="D7" s="26"/>
      <c r="E7" s="26"/>
      <c r="F7" s="11" t="s">
        <v>58</v>
      </c>
      <c r="G7" s="11">
        <f>G5*G6</f>
        <v>64427.16</v>
      </c>
      <c r="H7" s="26" t="s">
        <v>5</v>
      </c>
      <c r="I7" s="26"/>
      <c r="J7" s="56"/>
    </row>
    <row r="8" spans="1:11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1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1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1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1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64427.16</v>
      </c>
      <c r="G12" s="100">
        <v>0.31</v>
      </c>
      <c r="H12" s="99">
        <f>(ROUNDDOWN(G12*1.25,2))</f>
        <v>0.38</v>
      </c>
      <c r="I12" s="99">
        <f>IF(F12=0,0,ROUNDDOWN(H12*F12,2))</f>
        <v>24482.32</v>
      </c>
      <c r="J12" s="117"/>
      <c r="K12" s="123"/>
    </row>
    <row r="13" spans="1:11" x14ac:dyDescent="0.25">
      <c r="A13" s="49" t="s">
        <v>18</v>
      </c>
      <c r="B13" s="131" t="s">
        <v>84</v>
      </c>
      <c r="C13" s="34" t="s">
        <v>86</v>
      </c>
      <c r="D13" s="48" t="s">
        <v>20</v>
      </c>
      <c r="E13" s="49" t="s">
        <v>5</v>
      </c>
      <c r="F13" s="52">
        <f>G5</f>
        <v>10737.86</v>
      </c>
      <c r="G13" s="52">
        <v>0.51</v>
      </c>
      <c r="H13" s="50">
        <f>(ROUNDDOWN(G13*1.25,2))</f>
        <v>0.63</v>
      </c>
      <c r="I13" s="99">
        <f>IF(F13=0,0,ROUNDDOWN(H13*F13,2))</f>
        <v>6764.85</v>
      </c>
      <c r="J13" s="60"/>
    </row>
    <row r="14" spans="1:11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32215.629999999997</v>
      </c>
      <c r="J14" s="61">
        <f>I14/G30</f>
        <v>0.11508447746345983</v>
      </c>
    </row>
    <row r="15" spans="1:11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1" x14ac:dyDescent="0.25">
      <c r="A16" s="24" t="s">
        <v>4</v>
      </c>
      <c r="B16" s="131">
        <v>52025</v>
      </c>
      <c r="C16" s="33" t="s">
        <v>87</v>
      </c>
      <c r="D16" s="29" t="s">
        <v>19</v>
      </c>
      <c r="E16" s="24" t="s">
        <v>9</v>
      </c>
      <c r="F16" s="12">
        <f>G7*0.04</f>
        <v>2577.0864000000001</v>
      </c>
      <c r="G16" s="12">
        <v>4.13</v>
      </c>
      <c r="H16" s="101">
        <f>(ROUNDDOWN(G16*1.25,2))</f>
        <v>5.16</v>
      </c>
      <c r="I16" s="99">
        <f>IF(F16=0,0,ROUNDDOWN(H16*F16,2))</f>
        <v>13297.76</v>
      </c>
      <c r="J16" s="58"/>
      <c r="K16" s="54"/>
    </row>
    <row r="17" spans="1:11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G5*7.2</f>
        <v>77312.592000000004</v>
      </c>
      <c r="G17" s="106">
        <v>1.1100000000000001</v>
      </c>
      <c r="H17" s="104">
        <f>(ROUNDDOWN(G17*1.25,2))</f>
        <v>1.38</v>
      </c>
      <c r="I17" s="99">
        <f>IF(F17=0,0,ROUNDDOWN(H17*F17,2))</f>
        <v>106691.37</v>
      </c>
      <c r="J17" s="119"/>
    </row>
    <row r="18" spans="1:11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119989.12999999999</v>
      </c>
      <c r="J18" s="63">
        <f>I18/G30</f>
        <v>0.42863933833810336</v>
      </c>
    </row>
    <row r="19" spans="1:11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1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19.260000000000002</v>
      </c>
      <c r="G20" s="103">
        <v>10.49</v>
      </c>
      <c r="H20" s="104">
        <f>(ROUNDDOWN(G20*1.25,2))</f>
        <v>13.11</v>
      </c>
      <c r="I20" s="104">
        <f>IF(F20=0,0,ROUNDDOWN(H20*F20,2))</f>
        <v>252.49</v>
      </c>
      <c r="J20" s="120"/>
    </row>
    <row r="21" spans="1:11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370</v>
      </c>
      <c r="G21" s="103">
        <v>7.55</v>
      </c>
      <c r="H21" s="104">
        <f>(ROUNDDOWN(G21*1.25,2))</f>
        <v>9.43</v>
      </c>
      <c r="I21" s="104">
        <f>IF(F21=0,0,ROUNDDOWN(H21*F21,2))</f>
        <v>3489.1</v>
      </c>
      <c r="J21" s="119"/>
    </row>
    <row r="22" spans="1:11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3741.59</v>
      </c>
      <c r="J22" s="64">
        <f>I22/G30</f>
        <v>1.3366149599821787E-2</v>
      </c>
    </row>
    <row r="23" spans="1:11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1" x14ac:dyDescent="0.25">
      <c r="A24" s="1" t="s">
        <v>11</v>
      </c>
      <c r="B24" s="133">
        <v>51113</v>
      </c>
      <c r="C24" s="34" t="s">
        <v>87</v>
      </c>
      <c r="D24" s="97" t="s">
        <v>46</v>
      </c>
      <c r="E24" s="24" t="s">
        <v>5</v>
      </c>
      <c r="F24" s="10">
        <f>G7</f>
        <v>64427.16</v>
      </c>
      <c r="G24" s="98">
        <v>0.7</v>
      </c>
      <c r="H24" s="101">
        <f>(ROUNDDOWN(G24*1.25,2))</f>
        <v>0.87</v>
      </c>
      <c r="I24" s="99">
        <f>IF(F24=0,0,ROUNDDOWN(H24*F24,2))</f>
        <v>56051.62</v>
      </c>
      <c r="J24" s="58"/>
    </row>
    <row r="25" spans="1:11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3221.3580000000002</v>
      </c>
      <c r="G25" s="103">
        <v>9.5299999999999994</v>
      </c>
      <c r="H25" s="104">
        <f>(ROUNDDOWN(G25*1.25,2))</f>
        <v>11.91</v>
      </c>
      <c r="I25" s="99">
        <f>IF(F25=0,0,ROUNDDOWN(H25*F25,2))</f>
        <v>38366.370000000003</v>
      </c>
      <c r="J25" s="117"/>
      <c r="K25" s="123"/>
    </row>
    <row r="26" spans="1:11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64427.16</v>
      </c>
      <c r="G26" s="105">
        <v>0.13</v>
      </c>
      <c r="H26" s="104">
        <f>(ROUNDDOWN(G26*1.25,2))</f>
        <v>0.16</v>
      </c>
      <c r="I26" s="99">
        <f>IF(F26=0,0,ROUNDDOWN(H26*F26,2))</f>
        <v>10308.34</v>
      </c>
      <c r="J26" s="117"/>
      <c r="K26" s="123"/>
    </row>
    <row r="27" spans="1:11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>
        <v>80</v>
      </c>
      <c r="G27" s="105">
        <v>192.58</v>
      </c>
      <c r="H27" s="104">
        <f>(ROUNDDOWN(G27*1.25,2))</f>
        <v>240.72</v>
      </c>
      <c r="I27" s="99">
        <f>IF(F27=0,0,ROUNDDOWN(H27*F27,2))</f>
        <v>19257.599999999999</v>
      </c>
      <c r="J27" s="119"/>
      <c r="K27" s="123"/>
    </row>
    <row r="28" spans="1:11" x14ac:dyDescent="0.25">
      <c r="A28" s="96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123983.93</v>
      </c>
      <c r="J28" s="66">
        <f>I28/G30</f>
        <v>0.44291003459861505</v>
      </c>
    </row>
    <row r="29" spans="1:11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1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279930.27999999997</v>
      </c>
      <c r="H30" s="149"/>
      <c r="I30" s="149"/>
      <c r="J30" s="68">
        <f>J14+J18+J22+J28</f>
        <v>1</v>
      </c>
    </row>
    <row r="31" spans="1:11" x14ac:dyDescent="0.25">
      <c r="A31" s="27"/>
      <c r="B31" s="27"/>
      <c r="C31" s="27"/>
      <c r="D31" s="114" t="s">
        <v>49</v>
      </c>
      <c r="E31" s="27"/>
      <c r="F31" s="15"/>
      <c r="G31" s="27"/>
      <c r="H31" s="27"/>
      <c r="I31" s="27"/>
      <c r="J31" s="75"/>
    </row>
    <row r="32" spans="1:11" x14ac:dyDescent="0.25">
      <c r="A32" s="115"/>
      <c r="B32" s="115"/>
      <c r="C32" s="115"/>
      <c r="D32" s="47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G30:I30"/>
    <mergeCell ref="F22:H22"/>
    <mergeCell ref="I19:J19"/>
    <mergeCell ref="F14:H14"/>
    <mergeCell ref="F18:H18"/>
    <mergeCell ref="F28:H28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2"/>
  <sheetViews>
    <sheetView topLeftCell="A10" zoomScale="80" zoomScaleNormal="80" workbookViewId="0">
      <selection activeCell="L1" sqref="L1:N1048576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.14062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  <col min="13" max="13" width="10.140625" bestFit="1" customWidth="1"/>
  </cols>
  <sheetData>
    <row r="2" spans="1:13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3" ht="15.75" x14ac:dyDescent="0.25">
      <c r="A3" s="25" t="s">
        <v>23</v>
      </c>
      <c r="B3" s="27"/>
      <c r="C3" s="27"/>
      <c r="D3" s="26"/>
      <c r="E3" s="81" t="s">
        <v>62</v>
      </c>
      <c r="F3" s="82"/>
      <c r="G3" s="81"/>
      <c r="H3" s="26"/>
      <c r="I3" s="26"/>
      <c r="J3" s="56"/>
    </row>
    <row r="4" spans="1:13" ht="15.75" x14ac:dyDescent="0.25">
      <c r="A4" s="25" t="s">
        <v>14</v>
      </c>
      <c r="B4" s="27"/>
      <c r="C4" s="27"/>
      <c r="D4" s="26"/>
      <c r="E4" s="81"/>
      <c r="F4" s="82"/>
      <c r="G4" s="81"/>
      <c r="H4" s="26"/>
      <c r="I4" s="26"/>
      <c r="J4" s="56"/>
    </row>
    <row r="5" spans="1:13" x14ac:dyDescent="0.25">
      <c r="A5" s="25" t="s">
        <v>15</v>
      </c>
      <c r="B5" s="27"/>
      <c r="C5" s="27"/>
      <c r="D5" s="26"/>
      <c r="E5" s="26"/>
      <c r="F5" s="11" t="s">
        <v>63</v>
      </c>
      <c r="G5" s="11">
        <v>3140</v>
      </c>
      <c r="H5" s="26" t="s">
        <v>65</v>
      </c>
      <c r="I5" s="26"/>
      <c r="J5" s="56"/>
      <c r="M5" s="94"/>
    </row>
    <row r="6" spans="1:13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3" x14ac:dyDescent="0.25">
      <c r="A7" s="25" t="s">
        <v>16</v>
      </c>
      <c r="B7" s="27"/>
      <c r="C7" s="27"/>
      <c r="D7" s="26"/>
      <c r="E7" s="26"/>
      <c r="F7" s="11" t="s">
        <v>58</v>
      </c>
      <c r="G7" s="11">
        <f>G5*G6</f>
        <v>18840</v>
      </c>
      <c r="H7" s="26" t="s">
        <v>5</v>
      </c>
      <c r="I7" s="26"/>
      <c r="J7" s="56"/>
    </row>
    <row r="8" spans="1:13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3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3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3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3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18840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7159.2</v>
      </c>
      <c r="J12" s="117"/>
    </row>
    <row r="13" spans="1:13" x14ac:dyDescent="0.25">
      <c r="A13" s="49" t="s">
        <v>18</v>
      </c>
      <c r="B13" s="131" t="s">
        <v>84</v>
      </c>
      <c r="C13" s="34" t="s">
        <v>86</v>
      </c>
      <c r="D13" s="48" t="s">
        <v>20</v>
      </c>
      <c r="E13" s="49" t="s">
        <v>5</v>
      </c>
      <c r="F13" s="52">
        <f>G5</f>
        <v>3140</v>
      </c>
      <c r="G13" s="52">
        <v>0.51</v>
      </c>
      <c r="H13" s="50">
        <f>(ROUNDDOWN(G13*1.25,2))</f>
        <v>0.63</v>
      </c>
      <c r="I13" s="50">
        <f t="shared" si="0"/>
        <v>1978.2</v>
      </c>
      <c r="J13" s="60"/>
    </row>
    <row r="14" spans="1:13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10105.86</v>
      </c>
      <c r="J14" s="61">
        <f>I14/G30</f>
        <v>0.10592406294529785</v>
      </c>
    </row>
    <row r="15" spans="1:13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3" x14ac:dyDescent="0.25">
      <c r="A16" s="24" t="s">
        <v>4</v>
      </c>
      <c r="B16" s="131">
        <v>52025</v>
      </c>
      <c r="C16" s="33" t="s">
        <v>87</v>
      </c>
      <c r="D16" s="29" t="s">
        <v>19</v>
      </c>
      <c r="E16" s="24" t="s">
        <v>9</v>
      </c>
      <c r="F16" s="12">
        <f>G7*0.04</f>
        <v>753.6</v>
      </c>
      <c r="G16" s="12">
        <v>4.13</v>
      </c>
      <c r="H16" s="101">
        <f>(ROUNDDOWN(G16*1.25,2))</f>
        <v>5.16</v>
      </c>
      <c r="I16" s="101">
        <f>IF(F16=0,0,ROUNDDOWN(H16*F16,2))</f>
        <v>3888.57</v>
      </c>
      <c r="J16" s="58"/>
    </row>
    <row r="17" spans="1:10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21980</v>
      </c>
      <c r="G17" s="106">
        <v>1.1100000000000001</v>
      </c>
      <c r="H17" s="104">
        <f>(ROUNDDOWN(G17*1.25,2))</f>
        <v>1.38</v>
      </c>
      <c r="I17" s="104">
        <f>IF(F17=0,0,ROUNDDOWN(H17*F17,2))</f>
        <v>30332.400000000001</v>
      </c>
      <c r="J17" s="119"/>
    </row>
    <row r="18" spans="1:10" ht="18" customHeight="1" x14ac:dyDescent="0.25">
      <c r="A18" s="31"/>
      <c r="B18" s="137"/>
      <c r="C18" s="42"/>
      <c r="D18" s="43"/>
      <c r="E18" s="78"/>
      <c r="F18" s="148" t="s">
        <v>41</v>
      </c>
      <c r="G18" s="149"/>
      <c r="H18" s="150"/>
      <c r="I18" s="107">
        <f>SUM(I16:I17)</f>
        <v>34220.97</v>
      </c>
      <c r="J18" s="63">
        <f>I18/G30</f>
        <v>0.35868537465679806</v>
      </c>
    </row>
    <row r="19" spans="1:10" x14ac:dyDescent="0.25">
      <c r="A19" s="7"/>
      <c r="B19" s="27"/>
      <c r="C19" s="27"/>
      <c r="D19" s="23" t="s">
        <v>31</v>
      </c>
      <c r="E19" s="23"/>
      <c r="F19" s="17"/>
      <c r="G19" s="23"/>
      <c r="H19" s="23"/>
      <c r="I19" s="151"/>
      <c r="J19" s="152"/>
    </row>
    <row r="20" spans="1:10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5.05</v>
      </c>
      <c r="G20" s="103">
        <v>10.49</v>
      </c>
      <c r="H20" s="104">
        <f>(ROUNDDOWN(G20*1.25,2))</f>
        <v>13.11</v>
      </c>
      <c r="I20" s="104">
        <f>IF(F20=0,0,ROUNDDOWN(H20*F20,2))</f>
        <v>66.2</v>
      </c>
      <c r="J20" s="120"/>
    </row>
    <row r="21" spans="1:10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120</v>
      </c>
      <c r="G21" s="103">
        <v>7.55</v>
      </c>
      <c r="H21" s="104">
        <f>(ROUNDDOWN(G21*1.25,2))</f>
        <v>9.43</v>
      </c>
      <c r="I21" s="104">
        <f>IF(F21=0,0,ROUNDDOWN(H21*F21,2))</f>
        <v>1131.5999999999999</v>
      </c>
      <c r="J21" s="119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1197.8</v>
      </c>
      <c r="J22" s="64">
        <f>I22/G30</f>
        <v>1.2554680412738526E-2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x14ac:dyDescent="0.25">
      <c r="A24" s="1" t="s">
        <v>11</v>
      </c>
      <c r="B24" s="133">
        <v>51113</v>
      </c>
      <c r="C24" s="34" t="s">
        <v>87</v>
      </c>
      <c r="D24" s="97" t="s">
        <v>46</v>
      </c>
      <c r="E24" s="24" t="s">
        <v>5</v>
      </c>
      <c r="F24" s="10">
        <f>G7</f>
        <v>18840</v>
      </c>
      <c r="G24" s="98">
        <v>0.7</v>
      </c>
      <c r="H24" s="101">
        <f>(ROUNDDOWN(G24*1.25,2))</f>
        <v>0.87</v>
      </c>
      <c r="I24" s="101">
        <f>IF(F24=0,0,ROUNDDOWN(H24*F24,2))</f>
        <v>16390.8</v>
      </c>
      <c r="J24" s="58"/>
    </row>
    <row r="25" spans="1:10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942</v>
      </c>
      <c r="G25" s="103">
        <v>9.5299999999999994</v>
      </c>
      <c r="H25" s="104">
        <f>(ROUNDDOWN(G25*1.25,2))</f>
        <v>11.91</v>
      </c>
      <c r="I25" s="104">
        <f>IF(F25=0,0,ROUNDDOWN(H25*F25,2))</f>
        <v>11219.22</v>
      </c>
      <c r="J25" s="117"/>
    </row>
    <row r="26" spans="1:10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18840</v>
      </c>
      <c r="G26" s="105">
        <v>0.13</v>
      </c>
      <c r="H26" s="104">
        <f>(ROUNDDOWN(G26*1.25,2))</f>
        <v>0.16</v>
      </c>
      <c r="I26" s="104">
        <f>IF(F26=0,0,ROUNDDOWN(H26*F26,2))</f>
        <v>3014.4</v>
      </c>
      <c r="J26" s="117"/>
    </row>
    <row r="27" spans="1:10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>
        <v>80</v>
      </c>
      <c r="G27" s="105">
        <v>192.58</v>
      </c>
      <c r="H27" s="104">
        <f>(ROUNDDOWN(G27*1.25,2))</f>
        <v>240.72</v>
      </c>
      <c r="I27" s="104">
        <f>IF(F27=0,0,ROUNDDOWN(H27*F27,2))</f>
        <v>19257.599999999999</v>
      </c>
      <c r="J27" s="119"/>
    </row>
    <row r="28" spans="1:10" x14ac:dyDescent="0.25">
      <c r="A28" s="96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49882.02</v>
      </c>
      <c r="J28" s="66">
        <f>I28/G30</f>
        <v>0.52283588198516562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95406.65</v>
      </c>
      <c r="H30" s="149"/>
      <c r="I30" s="149"/>
      <c r="J30" s="68">
        <f>J14+J18+J22+J28</f>
        <v>1</v>
      </c>
    </row>
    <row r="31" spans="1:10" x14ac:dyDescent="0.25">
      <c r="A31" s="27"/>
      <c r="B31" s="27"/>
      <c r="C31" s="27"/>
      <c r="D31" s="121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122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32"/>
  <sheetViews>
    <sheetView zoomScale="60" zoomScaleNormal="6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.2851562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  <col min="12" max="12" width="11.5703125" bestFit="1" customWidth="1"/>
    <col min="15" max="15" width="11.7109375" bestFit="1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ht="15.75" x14ac:dyDescent="0.25">
      <c r="A3" s="25" t="s">
        <v>23</v>
      </c>
      <c r="B3" s="27"/>
      <c r="C3" s="27"/>
      <c r="D3" s="26"/>
      <c r="E3" s="81" t="s">
        <v>64</v>
      </c>
      <c r="F3" s="82"/>
      <c r="G3" s="81"/>
      <c r="H3" s="26"/>
      <c r="I3" s="26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53</v>
      </c>
      <c r="G5" s="11">
        <v>8100.99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58</v>
      </c>
      <c r="G7" s="11">
        <f>G5*G6</f>
        <v>48605.94</v>
      </c>
      <c r="H7" s="26" t="s">
        <v>45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0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48605.94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18470.25</v>
      </c>
      <c r="J12" s="117"/>
    </row>
    <row r="13" spans="1:10" s="118" customFormat="1" x14ac:dyDescent="0.2">
      <c r="A13" s="53" t="s">
        <v>18</v>
      </c>
      <c r="B13" s="131" t="s">
        <v>84</v>
      </c>
      <c r="C13" s="34" t="s">
        <v>86</v>
      </c>
      <c r="D13" s="111" t="s">
        <v>20</v>
      </c>
      <c r="E13" s="53" t="s">
        <v>5</v>
      </c>
      <c r="F13" s="100">
        <f>G5</f>
        <v>8100.99</v>
      </c>
      <c r="G13" s="52">
        <v>0.51</v>
      </c>
      <c r="H13" s="99">
        <f>(ROUNDDOWN(G13*1.25,2))</f>
        <v>0.63</v>
      </c>
      <c r="I13" s="99">
        <f t="shared" si="0"/>
        <v>5103.62</v>
      </c>
      <c r="J13" s="119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24542.329999999998</v>
      </c>
      <c r="J14" s="61">
        <f>I14/G30</f>
        <v>0.12730439143410965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s="118" customFormat="1" x14ac:dyDescent="0.25">
      <c r="A16" s="38" t="s">
        <v>4</v>
      </c>
      <c r="B16" s="131">
        <v>52025</v>
      </c>
      <c r="C16" s="33" t="s">
        <v>87</v>
      </c>
      <c r="D16" s="110" t="s">
        <v>19</v>
      </c>
      <c r="E16" s="38" t="s">
        <v>9</v>
      </c>
      <c r="F16" s="12">
        <f>G7*0.04</f>
        <v>1944.2376000000002</v>
      </c>
      <c r="G16" s="12">
        <v>4.13</v>
      </c>
      <c r="H16" s="104">
        <f>(ROUNDDOWN(G16*1.25,2))</f>
        <v>5.16</v>
      </c>
      <c r="I16" s="104">
        <f>IF(F16=0,0,ROUNDDOWN(H16*F16,2))</f>
        <v>10032.26</v>
      </c>
      <c r="J16" s="120"/>
    </row>
    <row r="17" spans="1:18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56706.93</v>
      </c>
      <c r="G17" s="106">
        <v>1.1100000000000001</v>
      </c>
      <c r="H17" s="104">
        <f>(ROUNDDOWN(G17*1.25,2))</f>
        <v>1.38</v>
      </c>
      <c r="I17" s="104">
        <f>IF(F17=0,0,ROUNDDOWN(H17*F17,2))</f>
        <v>78255.56</v>
      </c>
      <c r="J17" s="119"/>
    </row>
    <row r="18" spans="1:18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88287.819999999992</v>
      </c>
      <c r="J18" s="63">
        <f>I18/G30</f>
        <v>0.45796088619720354</v>
      </c>
    </row>
    <row r="19" spans="1:18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8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14.58</v>
      </c>
      <c r="G20" s="103">
        <v>10.49</v>
      </c>
      <c r="H20" s="104">
        <f>(ROUNDDOWN(G20*1.25,2))</f>
        <v>13.11</v>
      </c>
      <c r="I20" s="104">
        <f>IF(F20=0,0,ROUNDDOWN(H20*F20,2))</f>
        <v>191.14</v>
      </c>
      <c r="J20" s="120"/>
      <c r="Q20" s="94"/>
      <c r="R20"/>
    </row>
    <row r="21" spans="1:18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80</v>
      </c>
      <c r="G21" s="103">
        <v>7.55</v>
      </c>
      <c r="H21" s="104">
        <f>(ROUNDDOWN(G21*1.25,2))</f>
        <v>9.43</v>
      </c>
      <c r="I21" s="104">
        <f>IF(F21=0,0,ROUNDDOWN(H21*F21,2))</f>
        <v>754.4</v>
      </c>
      <c r="J21" s="119"/>
      <c r="Q21"/>
      <c r="R21"/>
    </row>
    <row r="22" spans="1:18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945.54</v>
      </c>
      <c r="J22" s="64">
        <f>I22/G30</f>
        <v>4.9046441098546077E-3</v>
      </c>
    </row>
    <row r="23" spans="1:18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8" s="118" customFormat="1" x14ac:dyDescent="0.25">
      <c r="A24" s="102" t="s">
        <v>11</v>
      </c>
      <c r="B24" s="133">
        <v>51113</v>
      </c>
      <c r="C24" s="34" t="s">
        <v>87</v>
      </c>
      <c r="D24" s="124" t="s">
        <v>46</v>
      </c>
      <c r="E24" s="38" t="s">
        <v>5</v>
      </c>
      <c r="F24" s="108">
        <f>G7</f>
        <v>48605.94</v>
      </c>
      <c r="G24" s="98">
        <v>0.7</v>
      </c>
      <c r="H24" s="104">
        <f>(ROUNDDOWN(G24*1.25,2))</f>
        <v>0.87</v>
      </c>
      <c r="I24" s="104">
        <f>IF(F24=0,0,ROUNDDOWN(H24*F24,2))</f>
        <v>42287.16</v>
      </c>
      <c r="J24" s="120"/>
    </row>
    <row r="25" spans="1:18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2430.297</v>
      </c>
      <c r="G25" s="103">
        <v>9.5299999999999994</v>
      </c>
      <c r="H25" s="104">
        <f>(ROUNDDOWN(G25*1.25,2))</f>
        <v>11.91</v>
      </c>
      <c r="I25" s="104">
        <f>IF(F25=0,0,ROUNDDOWN(H25*F25,2))</f>
        <v>28944.83</v>
      </c>
      <c r="J25" s="59"/>
    </row>
    <row r="26" spans="1:18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48605.94</v>
      </c>
      <c r="G26" s="105">
        <v>0.13</v>
      </c>
      <c r="H26" s="104">
        <f>(ROUNDDOWN(G26*1.25,2))</f>
        <v>0.16</v>
      </c>
      <c r="I26" s="104">
        <f>IF(F26=0,0,ROUNDDOWN(H26*F26,2))</f>
        <v>7776.95</v>
      </c>
      <c r="J26" s="59"/>
    </row>
    <row r="27" spans="1:18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/>
      <c r="G27" s="105">
        <v>192.58</v>
      </c>
      <c r="H27" s="104">
        <f>(ROUNDDOWN(G27*1.25,2))</f>
        <v>240.72</v>
      </c>
      <c r="I27" s="104">
        <f>IF(F27=0,0,ROUNDDOWN(H27*F27,2))</f>
        <v>0</v>
      </c>
      <c r="J27" s="119"/>
    </row>
    <row r="28" spans="1:18" x14ac:dyDescent="0.25">
      <c r="A28" s="78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79008.94</v>
      </c>
      <c r="J28" s="66">
        <f>I28/G30</f>
        <v>0.40983007825883216</v>
      </c>
    </row>
    <row r="29" spans="1:18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  <c r="L29" s="54"/>
    </row>
    <row r="30" spans="1:18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192784.63</v>
      </c>
      <c r="H30" s="149"/>
      <c r="I30" s="149"/>
      <c r="J30" s="68">
        <f>J14+J18+J22+J28</f>
        <v>1</v>
      </c>
    </row>
    <row r="31" spans="1:18" x14ac:dyDescent="0.25">
      <c r="A31" s="27"/>
      <c r="B31" s="27"/>
      <c r="C31" s="27"/>
      <c r="D31" s="121" t="s">
        <v>49</v>
      </c>
      <c r="E31" s="27"/>
      <c r="F31" s="15"/>
      <c r="G31" s="27"/>
      <c r="H31" s="27"/>
      <c r="I31" s="27"/>
      <c r="J31" s="75"/>
    </row>
    <row r="32" spans="1:18" x14ac:dyDescent="0.25">
      <c r="A32" s="115"/>
      <c r="B32" s="115"/>
      <c r="C32" s="115"/>
      <c r="D32" s="122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zoomScale="80" zoomScaleNormal="80" workbookViewId="0">
      <selection activeCell="G27" sqref="G27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7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</cols>
  <sheetData>
    <row r="2" spans="1:10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0" x14ac:dyDescent="0.25">
      <c r="A3" s="25" t="s">
        <v>23</v>
      </c>
      <c r="B3" s="27"/>
      <c r="C3" s="27"/>
      <c r="D3" s="26"/>
      <c r="E3" s="27" t="s">
        <v>66</v>
      </c>
      <c r="F3" s="16"/>
      <c r="G3" s="26"/>
      <c r="H3" s="26"/>
      <c r="I3" s="26"/>
      <c r="J3" s="56"/>
    </row>
    <row r="4" spans="1:10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0" x14ac:dyDescent="0.25">
      <c r="A5" s="25" t="s">
        <v>15</v>
      </c>
      <c r="B5" s="27"/>
      <c r="C5" s="27"/>
      <c r="D5" s="26"/>
      <c r="E5" s="26"/>
      <c r="F5" s="11" t="s">
        <v>55</v>
      </c>
      <c r="G5" s="11">
        <v>4222.4399999999996</v>
      </c>
      <c r="H5" s="26" t="s">
        <v>65</v>
      </c>
      <c r="I5" s="26"/>
      <c r="J5" s="56"/>
    </row>
    <row r="6" spans="1:10" x14ac:dyDescent="0.25">
      <c r="A6" s="25" t="s">
        <v>24</v>
      </c>
      <c r="B6" s="27"/>
      <c r="C6" s="27"/>
      <c r="D6" s="26"/>
      <c r="E6" s="26"/>
      <c r="F6" s="11" t="s">
        <v>81</v>
      </c>
      <c r="G6" s="11">
        <v>6</v>
      </c>
      <c r="H6" s="26" t="s">
        <v>65</v>
      </c>
      <c r="I6" s="26"/>
      <c r="J6" s="56"/>
    </row>
    <row r="7" spans="1:10" x14ac:dyDescent="0.25">
      <c r="A7" s="25" t="s">
        <v>16</v>
      </c>
      <c r="B7" s="27"/>
      <c r="C7" s="27"/>
      <c r="D7" s="26"/>
      <c r="E7" s="26"/>
      <c r="F7" s="11" t="s">
        <v>67</v>
      </c>
      <c r="G7" s="11">
        <f>G5*G6</f>
        <v>25334.639999999999</v>
      </c>
      <c r="H7" s="26" t="s">
        <v>68</v>
      </c>
      <c r="I7" s="26"/>
      <c r="J7" s="56"/>
    </row>
    <row r="8" spans="1:10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0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</row>
    <row r="10" spans="1:10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0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</row>
    <row r="12" spans="1:10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25334.639999999999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9627.16</v>
      </c>
      <c r="J12" s="117"/>
    </row>
    <row r="13" spans="1:10" s="118" customFormat="1" x14ac:dyDescent="0.2">
      <c r="A13" s="53" t="s">
        <v>18</v>
      </c>
      <c r="B13" s="131" t="s">
        <v>84</v>
      </c>
      <c r="C13" s="34" t="s">
        <v>86</v>
      </c>
      <c r="D13" s="111" t="s">
        <v>20</v>
      </c>
      <c r="E13" s="53" t="s">
        <v>5</v>
      </c>
      <c r="F13" s="100">
        <f>G5</f>
        <v>4222.4399999999996</v>
      </c>
      <c r="G13" s="52">
        <v>0.51</v>
      </c>
      <c r="H13" s="99">
        <f>(ROUNDDOWN(G13*1.25,2))</f>
        <v>0.63</v>
      </c>
      <c r="I13" s="99">
        <f t="shared" si="0"/>
        <v>2660.13</v>
      </c>
      <c r="J13" s="119"/>
    </row>
    <row r="14" spans="1:10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41">
        <f>SUM(I11:I13)</f>
        <v>13255.75</v>
      </c>
      <c r="J14" s="61">
        <f>I14/G30</f>
        <v>0.12987520047216836</v>
      </c>
    </row>
    <row r="15" spans="1:10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0" s="118" customFormat="1" x14ac:dyDescent="0.25">
      <c r="A16" s="38" t="s">
        <v>4</v>
      </c>
      <c r="B16" s="131">
        <v>52025</v>
      </c>
      <c r="C16" s="33" t="s">
        <v>87</v>
      </c>
      <c r="D16" s="110" t="s">
        <v>19</v>
      </c>
      <c r="E16" s="38" t="s">
        <v>9</v>
      </c>
      <c r="F16" s="12">
        <f>G7*0.04</f>
        <v>1013.3856</v>
      </c>
      <c r="G16" s="12">
        <v>4.13</v>
      </c>
      <c r="H16" s="104">
        <f>(ROUNDDOWN(G16*1.25,2))</f>
        <v>5.16</v>
      </c>
      <c r="I16" s="104">
        <f>IF(F16=0,0,ROUNDDOWN(H16*F16,2))</f>
        <v>5229.0600000000004</v>
      </c>
      <c r="J16" s="120"/>
    </row>
    <row r="17" spans="1:10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29557.079999999998</v>
      </c>
      <c r="G17" s="106">
        <v>1.1100000000000001</v>
      </c>
      <c r="H17" s="104">
        <f>(ROUNDDOWN(G17*1.25,2))</f>
        <v>1.38</v>
      </c>
      <c r="I17" s="104">
        <f>IF(F17=0,0,ROUNDDOWN(H17*F17,2))</f>
        <v>40788.769999999997</v>
      </c>
      <c r="J17" s="119"/>
    </row>
    <row r="18" spans="1:10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46017.829999999994</v>
      </c>
      <c r="J18" s="63">
        <f>I18/G30</f>
        <v>0.45086659725358147</v>
      </c>
    </row>
    <row r="19" spans="1:10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0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7.74</v>
      </c>
      <c r="G20" s="103">
        <v>10.49</v>
      </c>
      <c r="H20" s="104">
        <f>(ROUNDDOWN(G20*1.25,2))</f>
        <v>13.11</v>
      </c>
      <c r="I20" s="104">
        <f>IF(F20=0,0,ROUNDDOWN(H20*F20,2))</f>
        <v>101.47</v>
      </c>
      <c r="J20" s="120"/>
    </row>
    <row r="21" spans="1:10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160</v>
      </c>
      <c r="G21" s="103">
        <v>7.55</v>
      </c>
      <c r="H21" s="104">
        <f>(ROUNDDOWN(G21*1.25,2))</f>
        <v>9.43</v>
      </c>
      <c r="I21" s="104">
        <f>IF(F21=0,0,ROUNDDOWN(H21*F21,2))</f>
        <v>1508.8</v>
      </c>
      <c r="J21" s="119"/>
    </row>
    <row r="22" spans="1:10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1610.27</v>
      </c>
      <c r="J22" s="64">
        <f>I22/G30</f>
        <v>1.5776862045853199E-2</v>
      </c>
    </row>
    <row r="23" spans="1:10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0" s="118" customFormat="1" x14ac:dyDescent="0.25">
      <c r="A24" s="102" t="s">
        <v>11</v>
      </c>
      <c r="B24" s="133">
        <v>51113</v>
      </c>
      <c r="C24" s="34" t="s">
        <v>87</v>
      </c>
      <c r="D24" s="124" t="s">
        <v>46</v>
      </c>
      <c r="E24" s="38" t="s">
        <v>5</v>
      </c>
      <c r="F24" s="108">
        <f>G7</f>
        <v>25334.639999999999</v>
      </c>
      <c r="G24" s="98">
        <v>0.7</v>
      </c>
      <c r="H24" s="104">
        <f>(ROUNDDOWN(G24*1.25,2))</f>
        <v>0.87</v>
      </c>
      <c r="I24" s="104">
        <f>IF(F24=0,0,ROUNDDOWN(H24*F24,2))</f>
        <v>22041.13</v>
      </c>
      <c r="J24" s="120"/>
    </row>
    <row r="25" spans="1:10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1266.732</v>
      </c>
      <c r="G25" s="103">
        <v>9.5299999999999994</v>
      </c>
      <c r="H25" s="104">
        <f>(ROUNDDOWN(G25*1.25,2))</f>
        <v>11.91</v>
      </c>
      <c r="I25" s="104">
        <f>IF(F25=0,0,ROUNDDOWN(H25*F25,2))</f>
        <v>15086.77</v>
      </c>
      <c r="J25" s="117"/>
    </row>
    <row r="26" spans="1:10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25334.639999999999</v>
      </c>
      <c r="G26" s="105">
        <v>0.13</v>
      </c>
      <c r="H26" s="104">
        <f>(ROUNDDOWN(G26*1.25,2))</f>
        <v>0.16</v>
      </c>
      <c r="I26" s="104">
        <f>IF(F26=0,0,ROUNDDOWN(H26*F26,2))</f>
        <v>4053.54</v>
      </c>
      <c r="J26" s="117"/>
    </row>
    <row r="27" spans="1:10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/>
      <c r="G27" s="105">
        <v>192.58</v>
      </c>
      <c r="H27" s="104">
        <f>(ROUNDDOWN(G27*1.25,2))</f>
        <v>240.72</v>
      </c>
      <c r="I27" s="104">
        <f>IF(F27=0,0,ROUNDDOWN(H27*F27,2))</f>
        <v>0</v>
      </c>
      <c r="J27" s="119"/>
    </row>
    <row r="28" spans="1:10" x14ac:dyDescent="0.25">
      <c r="A28" s="96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41181.440000000002</v>
      </c>
      <c r="J28" s="66">
        <f>I28/G30</f>
        <v>0.40348134022839699</v>
      </c>
    </row>
    <row r="29" spans="1:10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0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102065.29</v>
      </c>
      <c r="H30" s="149"/>
      <c r="I30" s="149"/>
      <c r="J30" s="68">
        <f>J14+J18+J22+J28</f>
        <v>1</v>
      </c>
    </row>
    <row r="31" spans="1:10" x14ac:dyDescent="0.25">
      <c r="A31" s="27"/>
      <c r="B31" s="27"/>
      <c r="C31" s="27"/>
      <c r="D31" s="121" t="s">
        <v>49</v>
      </c>
      <c r="E31" s="27"/>
      <c r="F31" s="15"/>
      <c r="G31" s="27"/>
      <c r="H31" s="27"/>
      <c r="I31" s="27"/>
      <c r="J31" s="75"/>
    </row>
    <row r="32" spans="1:10" x14ac:dyDescent="0.25">
      <c r="A32" s="115"/>
      <c r="B32" s="115"/>
      <c r="C32" s="115"/>
      <c r="D32" s="122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2"/>
  <sheetViews>
    <sheetView zoomScale="80" zoomScaleNormal="80" workbookViewId="0">
      <selection activeCell="L1" sqref="L1:P1048576"/>
    </sheetView>
  </sheetViews>
  <sheetFormatPr defaultRowHeight="15" x14ac:dyDescent="0.25"/>
  <cols>
    <col min="1" max="1" width="5.85546875" customWidth="1"/>
    <col min="2" max="2" width="7.5703125" customWidth="1"/>
    <col min="3" max="3" width="10" customWidth="1"/>
    <col min="4" max="4" width="48.7109375" customWidth="1"/>
    <col min="5" max="5" width="6.85546875" customWidth="1"/>
    <col min="6" max="6" width="14.7109375" style="18" customWidth="1"/>
    <col min="7" max="7" width="10.5703125" bestFit="1" customWidth="1"/>
    <col min="8" max="8" width="9.7109375" customWidth="1"/>
    <col min="9" max="9" width="12.7109375" customWidth="1"/>
    <col min="10" max="10" width="6.85546875" style="69" customWidth="1"/>
    <col min="12" max="14" width="10.140625" style="116" bestFit="1" customWidth="1"/>
    <col min="16" max="16" width="10.140625" bestFit="1" customWidth="1"/>
  </cols>
  <sheetData>
    <row r="2" spans="1:16" x14ac:dyDescent="0.25">
      <c r="A2" s="7" t="s">
        <v>13</v>
      </c>
      <c r="B2" s="23"/>
      <c r="C2" s="23"/>
      <c r="D2" s="29"/>
      <c r="E2" s="29"/>
      <c r="F2" s="13"/>
      <c r="G2" s="29"/>
      <c r="H2" s="29"/>
      <c r="I2" s="29"/>
      <c r="J2" s="55"/>
    </row>
    <row r="3" spans="1:16" ht="15.75" x14ac:dyDescent="0.25">
      <c r="A3" s="25" t="s">
        <v>23</v>
      </c>
      <c r="B3" s="27"/>
      <c r="C3" s="27"/>
      <c r="D3" s="26"/>
      <c r="E3" s="81" t="s">
        <v>69</v>
      </c>
      <c r="F3" s="82"/>
      <c r="G3" s="81"/>
      <c r="H3" s="26"/>
      <c r="I3" s="26"/>
      <c r="J3" s="56"/>
    </row>
    <row r="4" spans="1:16" x14ac:dyDescent="0.25">
      <c r="A4" s="25" t="s">
        <v>14</v>
      </c>
      <c r="B4" s="27"/>
      <c r="C4" s="27"/>
      <c r="D4" s="26"/>
      <c r="E4" s="26"/>
      <c r="F4" s="16"/>
      <c r="G4" s="26"/>
      <c r="H4" s="26"/>
      <c r="I4" s="26"/>
      <c r="J4" s="56"/>
    </row>
    <row r="5" spans="1:16" x14ac:dyDescent="0.25">
      <c r="A5" s="25" t="s">
        <v>15</v>
      </c>
      <c r="B5" s="27"/>
      <c r="C5" s="27"/>
      <c r="D5" s="26"/>
      <c r="E5" s="26"/>
      <c r="F5" s="11" t="s">
        <v>53</v>
      </c>
      <c r="G5" s="11">
        <v>3000</v>
      </c>
      <c r="H5" s="26" t="s">
        <v>65</v>
      </c>
      <c r="I5" s="26"/>
      <c r="J5" s="56"/>
      <c r="P5" s="94"/>
    </row>
    <row r="6" spans="1:16" x14ac:dyDescent="0.25">
      <c r="A6" s="25" t="s">
        <v>24</v>
      </c>
      <c r="B6" s="27"/>
      <c r="C6" s="27"/>
      <c r="D6" s="26"/>
      <c r="E6" s="26"/>
      <c r="F6" s="11" t="s">
        <v>82</v>
      </c>
      <c r="G6" s="11">
        <v>6</v>
      </c>
      <c r="H6" s="26" t="s">
        <v>65</v>
      </c>
      <c r="I6" s="26"/>
      <c r="J6" s="56"/>
      <c r="L6" s="146"/>
      <c r="M6" s="146"/>
      <c r="P6" s="94"/>
    </row>
    <row r="7" spans="1:16" x14ac:dyDescent="0.25">
      <c r="A7" s="25" t="s">
        <v>16</v>
      </c>
      <c r="B7" s="27"/>
      <c r="C7" s="27"/>
      <c r="D7" s="26"/>
      <c r="E7" s="26"/>
      <c r="F7" s="11" t="s">
        <v>54</v>
      </c>
      <c r="G7" s="11">
        <f>G5*G6</f>
        <v>18000</v>
      </c>
      <c r="H7" s="26" t="s">
        <v>70</v>
      </c>
      <c r="I7" s="26"/>
      <c r="J7" s="56"/>
    </row>
    <row r="8" spans="1:16" x14ac:dyDescent="0.25">
      <c r="A8" s="25" t="s">
        <v>25</v>
      </c>
      <c r="B8" s="27"/>
      <c r="C8" s="27"/>
      <c r="D8" s="26"/>
      <c r="E8" s="26"/>
      <c r="F8" s="11" t="s">
        <v>22</v>
      </c>
      <c r="G8" s="26"/>
      <c r="H8" s="26"/>
      <c r="I8" s="26"/>
      <c r="J8" s="56"/>
    </row>
    <row r="9" spans="1:16" s="128" customFormat="1" ht="24" x14ac:dyDescent="0.2">
      <c r="A9" s="126" t="s">
        <v>0</v>
      </c>
      <c r="B9" s="32" t="s">
        <v>26</v>
      </c>
      <c r="C9" s="32" t="s">
        <v>27</v>
      </c>
      <c r="D9" s="32" t="s">
        <v>2</v>
      </c>
      <c r="E9" s="126" t="s">
        <v>1</v>
      </c>
      <c r="F9" s="125" t="s">
        <v>10</v>
      </c>
      <c r="G9" s="126" t="s">
        <v>33</v>
      </c>
      <c r="H9" s="127" t="s">
        <v>34</v>
      </c>
      <c r="I9" s="32" t="s">
        <v>35</v>
      </c>
      <c r="J9" s="126" t="s">
        <v>38</v>
      </c>
      <c r="L9" s="145"/>
      <c r="M9" s="145"/>
      <c r="N9" s="145"/>
    </row>
    <row r="10" spans="1:16" x14ac:dyDescent="0.25">
      <c r="A10" s="25"/>
      <c r="B10" s="36"/>
      <c r="C10" s="36"/>
      <c r="D10" s="36" t="s">
        <v>29</v>
      </c>
      <c r="E10" s="27"/>
      <c r="F10" s="15"/>
      <c r="G10" s="27"/>
      <c r="H10" s="27"/>
      <c r="I10" s="27"/>
      <c r="J10" s="57"/>
    </row>
    <row r="11" spans="1:16" s="118" customFormat="1" ht="30.75" customHeight="1" x14ac:dyDescent="0.25">
      <c r="A11" s="53" t="s">
        <v>3</v>
      </c>
      <c r="B11" s="45" t="s">
        <v>85</v>
      </c>
      <c r="C11" s="35" t="s">
        <v>86</v>
      </c>
      <c r="D11" s="112" t="s">
        <v>44</v>
      </c>
      <c r="E11" s="53" t="s">
        <v>45</v>
      </c>
      <c r="F11" s="99">
        <v>2.8</v>
      </c>
      <c r="G11" s="100">
        <v>276.70999999999998</v>
      </c>
      <c r="H11" s="99">
        <f>(ROUNDDOWN(G11*1.25,2))</f>
        <v>345.88</v>
      </c>
      <c r="I11" s="99">
        <f>IF(F11=0,0,ROUNDDOWN(H11*F11,2))</f>
        <v>968.46</v>
      </c>
      <c r="J11" s="117"/>
      <c r="L11" s="138"/>
      <c r="M11" s="138"/>
      <c r="N11" s="138"/>
    </row>
    <row r="12" spans="1:16" s="118" customFormat="1" ht="29.25" customHeight="1" x14ac:dyDescent="0.25">
      <c r="A12" s="53" t="s">
        <v>17</v>
      </c>
      <c r="B12" s="45">
        <v>78472</v>
      </c>
      <c r="C12" s="35" t="s">
        <v>86</v>
      </c>
      <c r="D12" s="112" t="s">
        <v>79</v>
      </c>
      <c r="E12" s="53" t="s">
        <v>5</v>
      </c>
      <c r="F12" s="100">
        <f>G7</f>
        <v>18000</v>
      </c>
      <c r="G12" s="100">
        <v>0.31</v>
      </c>
      <c r="H12" s="99">
        <f>(ROUNDDOWN(G12*1.25,2))</f>
        <v>0.38</v>
      </c>
      <c r="I12" s="99">
        <f t="shared" ref="I12:I13" si="0">IF(F12=0,0,ROUNDDOWN(H12*F12,2))</f>
        <v>6840</v>
      </c>
      <c r="J12" s="117"/>
      <c r="L12" s="138"/>
      <c r="M12" s="138"/>
      <c r="N12" s="138"/>
    </row>
    <row r="13" spans="1:16" s="118" customFormat="1" x14ac:dyDescent="0.2">
      <c r="A13" s="53" t="s">
        <v>18</v>
      </c>
      <c r="B13" s="131" t="s">
        <v>84</v>
      </c>
      <c r="C13" s="34" t="s">
        <v>86</v>
      </c>
      <c r="D13" s="111" t="s">
        <v>20</v>
      </c>
      <c r="E13" s="53" t="s">
        <v>5</v>
      </c>
      <c r="F13" s="100">
        <f>G5</f>
        <v>3000</v>
      </c>
      <c r="G13" s="52">
        <v>0.51</v>
      </c>
      <c r="H13" s="99">
        <f>(ROUNDDOWN(G13*1.25,2))</f>
        <v>0.63</v>
      </c>
      <c r="I13" s="99">
        <f t="shared" si="0"/>
        <v>1890</v>
      </c>
      <c r="J13" s="119"/>
      <c r="L13" s="138"/>
      <c r="M13" s="138"/>
      <c r="N13" s="138"/>
    </row>
    <row r="14" spans="1:16" x14ac:dyDescent="0.25">
      <c r="A14" s="31"/>
      <c r="B14" s="47"/>
      <c r="C14" s="39"/>
      <c r="D14" s="29"/>
      <c r="E14" s="47"/>
      <c r="F14" s="148" t="s">
        <v>39</v>
      </c>
      <c r="G14" s="149"/>
      <c r="H14" s="150"/>
      <c r="I14" s="107">
        <f>SUM(I11:I13)</f>
        <v>9698.4599999999991</v>
      </c>
      <c r="J14" s="61">
        <f>I14/G30</f>
        <v>0.13277622353209348</v>
      </c>
    </row>
    <row r="15" spans="1:16" x14ac:dyDescent="0.25">
      <c r="A15" s="74"/>
      <c r="B15" s="47"/>
      <c r="C15" s="47"/>
      <c r="D15" s="27" t="s">
        <v>30</v>
      </c>
      <c r="E15" s="47"/>
      <c r="F15" s="16"/>
      <c r="G15" s="47"/>
      <c r="H15" s="47"/>
      <c r="I15" s="40"/>
      <c r="J15" s="62"/>
    </row>
    <row r="16" spans="1:16" x14ac:dyDescent="0.25">
      <c r="A16" s="24" t="s">
        <v>4</v>
      </c>
      <c r="B16" s="131">
        <v>52025</v>
      </c>
      <c r="C16" s="33" t="s">
        <v>87</v>
      </c>
      <c r="D16" s="29" t="s">
        <v>19</v>
      </c>
      <c r="E16" s="24" t="s">
        <v>9</v>
      </c>
      <c r="F16" s="12">
        <f>G7*0.04</f>
        <v>720</v>
      </c>
      <c r="G16" s="12">
        <v>4.13</v>
      </c>
      <c r="H16" s="101">
        <f>(ROUNDDOWN(G16*1.25,2))</f>
        <v>5.16</v>
      </c>
      <c r="I16" s="101">
        <f>IF(F16=0,0,ROUNDDOWN(H16*F16,2))</f>
        <v>3715.2</v>
      </c>
      <c r="J16" s="58"/>
    </row>
    <row r="17" spans="1:14" s="118" customFormat="1" ht="30" customHeight="1" x14ac:dyDescent="0.25">
      <c r="A17" s="38" t="s">
        <v>6</v>
      </c>
      <c r="B17" s="45">
        <v>72885</v>
      </c>
      <c r="C17" s="35" t="s">
        <v>86</v>
      </c>
      <c r="D17" s="113" t="s">
        <v>52</v>
      </c>
      <c r="E17" s="38" t="s">
        <v>21</v>
      </c>
      <c r="F17" s="106">
        <f>G5*7</f>
        <v>21000</v>
      </c>
      <c r="G17" s="106">
        <v>1.1100000000000001</v>
      </c>
      <c r="H17" s="104">
        <f>(ROUNDDOWN(G17*1.25,2))</f>
        <v>1.38</v>
      </c>
      <c r="I17" s="104">
        <f>IF(F17=0,0,ROUNDDOWN(H17*F17,2))</f>
        <v>28980</v>
      </c>
      <c r="J17" s="119"/>
      <c r="L17" s="138"/>
      <c r="M17" s="138"/>
      <c r="N17" s="138"/>
    </row>
    <row r="18" spans="1:14" ht="18" customHeight="1" x14ac:dyDescent="0.25">
      <c r="A18" s="31"/>
      <c r="B18" s="137"/>
      <c r="C18" s="42"/>
      <c r="D18" s="43"/>
      <c r="E18" s="73"/>
      <c r="F18" s="148" t="s">
        <v>41</v>
      </c>
      <c r="G18" s="149"/>
      <c r="H18" s="150"/>
      <c r="I18" s="107">
        <f>SUM(I16:I17)</f>
        <v>32695.200000000001</v>
      </c>
      <c r="J18" s="63">
        <f>I18/G30</f>
        <v>0.44761180472224488</v>
      </c>
    </row>
    <row r="19" spans="1:14" x14ac:dyDescent="0.25">
      <c r="A19" s="25"/>
      <c r="B19" s="27"/>
      <c r="C19" s="27"/>
      <c r="D19" s="27" t="s">
        <v>31</v>
      </c>
      <c r="E19" s="27"/>
      <c r="F19" s="17"/>
      <c r="G19" s="23"/>
      <c r="H19" s="23"/>
      <c r="I19" s="151"/>
      <c r="J19" s="152"/>
    </row>
    <row r="20" spans="1:14" s="118" customFormat="1" ht="33" customHeight="1" x14ac:dyDescent="0.25">
      <c r="A20" s="102" t="s">
        <v>7</v>
      </c>
      <c r="B20" s="132">
        <v>60060</v>
      </c>
      <c r="C20" s="34" t="s">
        <v>87</v>
      </c>
      <c r="D20" s="113" t="s">
        <v>28</v>
      </c>
      <c r="E20" s="38" t="s">
        <v>9</v>
      </c>
      <c r="F20" s="108">
        <v>5.4</v>
      </c>
      <c r="G20" s="103">
        <v>10.49</v>
      </c>
      <c r="H20" s="104">
        <f>(ROUNDDOWN(G20*1.25,2))</f>
        <v>13.11</v>
      </c>
      <c r="I20" s="104">
        <f>IF(F20=0,0,ROUNDDOWN(H20*F20,2))</f>
        <v>70.790000000000006</v>
      </c>
      <c r="J20" s="120"/>
      <c r="L20" s="138"/>
      <c r="M20" s="138"/>
      <c r="N20" s="138"/>
    </row>
    <row r="21" spans="1:14" s="118" customFormat="1" ht="35.25" customHeight="1" x14ac:dyDescent="0.25">
      <c r="A21" s="102" t="s">
        <v>8</v>
      </c>
      <c r="B21" s="132">
        <v>83341</v>
      </c>
      <c r="C21" s="35" t="s">
        <v>86</v>
      </c>
      <c r="D21" s="113" t="s">
        <v>47</v>
      </c>
      <c r="E21" s="38" t="s">
        <v>9</v>
      </c>
      <c r="F21" s="108">
        <v>140</v>
      </c>
      <c r="G21" s="103">
        <v>7.55</v>
      </c>
      <c r="H21" s="104">
        <f>(ROUNDDOWN(G21*1.25,2))</f>
        <v>9.43</v>
      </c>
      <c r="I21" s="104">
        <f>IF(F21=0,0,ROUNDDOWN(H21*F21,2))</f>
        <v>1320.2</v>
      </c>
      <c r="J21" s="119"/>
      <c r="L21" s="138"/>
      <c r="M21" s="138"/>
      <c r="N21" s="138"/>
    </row>
    <row r="22" spans="1:14" ht="21" customHeight="1" x14ac:dyDescent="0.25">
      <c r="A22" s="31"/>
      <c r="B22" s="44"/>
      <c r="C22" s="45"/>
      <c r="D22" s="43"/>
      <c r="E22" s="73"/>
      <c r="F22" s="148" t="s">
        <v>42</v>
      </c>
      <c r="G22" s="149"/>
      <c r="H22" s="150"/>
      <c r="I22" s="107">
        <f>SUM(I20:I21)</f>
        <v>1390.99</v>
      </c>
      <c r="J22" s="64">
        <f>I22/G30</f>
        <v>1.9043270701833769E-2</v>
      </c>
    </row>
    <row r="23" spans="1:14" x14ac:dyDescent="0.25">
      <c r="A23" s="71"/>
      <c r="B23" s="72"/>
      <c r="C23" s="72"/>
      <c r="D23" s="72" t="s">
        <v>32</v>
      </c>
      <c r="E23" s="72"/>
      <c r="F23" s="37"/>
      <c r="G23" s="37"/>
      <c r="H23" s="37"/>
      <c r="I23" s="37"/>
      <c r="J23" s="65"/>
    </row>
    <row r="24" spans="1:14" x14ac:dyDescent="0.25">
      <c r="A24" s="1" t="s">
        <v>11</v>
      </c>
      <c r="B24" s="133">
        <v>51113</v>
      </c>
      <c r="C24" s="34" t="s">
        <v>87</v>
      </c>
      <c r="D24" s="97" t="s">
        <v>46</v>
      </c>
      <c r="E24" s="24" t="s">
        <v>5</v>
      </c>
      <c r="F24" s="10">
        <f>G7</f>
        <v>18000</v>
      </c>
      <c r="G24" s="98">
        <v>0.7</v>
      </c>
      <c r="H24" s="101">
        <f>(ROUNDDOWN(G24*1.25,2))</f>
        <v>0.87</v>
      </c>
      <c r="I24" s="101">
        <f>IF(F24=0,0,ROUNDDOWN(H24*F24,2))</f>
        <v>15660</v>
      </c>
      <c r="J24" s="58"/>
    </row>
    <row r="25" spans="1:14" s="118" customFormat="1" ht="45" customHeight="1" x14ac:dyDescent="0.25">
      <c r="A25" s="102" t="s">
        <v>12</v>
      </c>
      <c r="B25" s="135">
        <v>72911</v>
      </c>
      <c r="C25" s="35" t="s">
        <v>86</v>
      </c>
      <c r="D25" s="113" t="s">
        <v>80</v>
      </c>
      <c r="E25" s="38" t="s">
        <v>9</v>
      </c>
      <c r="F25" s="108">
        <f>G7*0.05</f>
        <v>900</v>
      </c>
      <c r="G25" s="103">
        <v>9.5299999999999994</v>
      </c>
      <c r="H25" s="104">
        <f>(ROUNDDOWN(G25*1.25,2))</f>
        <v>11.91</v>
      </c>
      <c r="I25" s="104">
        <f>IF(F25=0,0,ROUNDDOWN(H25*F25,2))</f>
        <v>10719</v>
      </c>
      <c r="J25" s="117"/>
      <c r="L25" s="138"/>
      <c r="M25" s="138"/>
      <c r="N25" s="138"/>
    </row>
    <row r="26" spans="1:14" s="118" customFormat="1" ht="45" customHeight="1" x14ac:dyDescent="0.25">
      <c r="A26" s="102" t="s">
        <v>36</v>
      </c>
      <c r="B26" s="34">
        <v>41879</v>
      </c>
      <c r="C26" s="35" t="s">
        <v>86</v>
      </c>
      <c r="D26" s="113" t="s">
        <v>37</v>
      </c>
      <c r="E26" s="38" t="s">
        <v>5</v>
      </c>
      <c r="F26" s="109">
        <f>G7</f>
        <v>18000</v>
      </c>
      <c r="G26" s="105">
        <v>0.13</v>
      </c>
      <c r="H26" s="104">
        <f>(ROUNDDOWN(G26*1.25,2))</f>
        <v>0.16</v>
      </c>
      <c r="I26" s="104">
        <f>IF(F26=0,0,ROUNDDOWN(H26*F26,2))</f>
        <v>2880</v>
      </c>
      <c r="J26" s="117"/>
      <c r="L26" s="138"/>
      <c r="M26" s="138"/>
      <c r="N26" s="138"/>
    </row>
    <row r="27" spans="1:14" s="118" customFormat="1" ht="34.5" customHeight="1" x14ac:dyDescent="0.25">
      <c r="A27" s="102" t="s">
        <v>89</v>
      </c>
      <c r="B27" s="34">
        <v>823000</v>
      </c>
      <c r="C27" s="34" t="s">
        <v>87</v>
      </c>
      <c r="D27" s="113" t="s">
        <v>90</v>
      </c>
      <c r="E27" s="38" t="s">
        <v>65</v>
      </c>
      <c r="F27" s="106"/>
      <c r="G27" s="105">
        <v>192.58</v>
      </c>
      <c r="H27" s="104">
        <f>(ROUNDDOWN(G27*1.25,2))</f>
        <v>240.72</v>
      </c>
      <c r="I27" s="104">
        <f>IF(F27=0,0,ROUNDDOWN(H27*F27,2))</f>
        <v>0</v>
      </c>
      <c r="J27" s="119"/>
      <c r="L27" s="138"/>
      <c r="M27" s="138"/>
      <c r="N27" s="138"/>
    </row>
    <row r="28" spans="1:14" x14ac:dyDescent="0.25">
      <c r="A28" s="96"/>
      <c r="B28" s="78"/>
      <c r="C28" s="78"/>
      <c r="D28" s="96"/>
      <c r="E28" s="78"/>
      <c r="F28" s="148" t="s">
        <v>43</v>
      </c>
      <c r="G28" s="149"/>
      <c r="H28" s="150"/>
      <c r="I28" s="107">
        <f>SUM(I24:I27)</f>
        <v>29259</v>
      </c>
      <c r="J28" s="66">
        <f>I28/G30</f>
        <v>0.40056870104382791</v>
      </c>
    </row>
    <row r="29" spans="1:14" x14ac:dyDescent="0.25">
      <c r="A29" s="47"/>
      <c r="B29" s="47"/>
      <c r="C29" s="47"/>
      <c r="D29" s="47"/>
      <c r="E29" s="47"/>
      <c r="F29" s="76"/>
      <c r="G29" s="77"/>
      <c r="H29" s="77"/>
      <c r="I29" s="46"/>
      <c r="J29" s="67"/>
    </row>
    <row r="30" spans="1:14" x14ac:dyDescent="0.25">
      <c r="A30" s="70" t="s">
        <v>48</v>
      </c>
      <c r="B30" s="70"/>
      <c r="C30" s="70"/>
      <c r="D30" s="47"/>
      <c r="E30" s="30"/>
      <c r="F30" s="14" t="s">
        <v>40</v>
      </c>
      <c r="G30" s="148">
        <f>SUM(I14+I18+I22+I28)</f>
        <v>73043.649999999994</v>
      </c>
      <c r="H30" s="149"/>
      <c r="I30" s="149"/>
      <c r="J30" s="68">
        <f>J14+J18+J22+J28</f>
        <v>1</v>
      </c>
    </row>
    <row r="31" spans="1:14" x14ac:dyDescent="0.25">
      <c r="A31" s="27"/>
      <c r="B31" s="27"/>
      <c r="C31" s="27"/>
      <c r="D31" s="114" t="s">
        <v>49</v>
      </c>
      <c r="E31" s="27"/>
      <c r="F31" s="15"/>
      <c r="G31" s="27"/>
      <c r="H31" s="27"/>
      <c r="I31" s="27"/>
      <c r="J31" s="75"/>
    </row>
    <row r="32" spans="1:14" x14ac:dyDescent="0.25">
      <c r="A32" s="115"/>
      <c r="B32" s="115"/>
      <c r="C32" s="115"/>
      <c r="D32" s="47" t="s">
        <v>50</v>
      </c>
      <c r="E32" s="115" t="s">
        <v>51</v>
      </c>
      <c r="F32" s="16"/>
      <c r="G32" s="115"/>
      <c r="H32" s="115"/>
      <c r="I32" s="115"/>
      <c r="J32" s="85"/>
    </row>
  </sheetData>
  <mergeCells count="6">
    <mergeCell ref="I19:J19"/>
    <mergeCell ref="F14:H14"/>
    <mergeCell ref="F18:H18"/>
    <mergeCell ref="F28:H28"/>
    <mergeCell ref="G30:I30"/>
    <mergeCell ref="F22:H22"/>
  </mergeCells>
  <printOptions horizontalCentered="1" verticalCentered="1"/>
  <pageMargins left="0.31496062992125984" right="0.11811023622047245" top="0.39370078740157483" bottom="0.19685039370078741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13</vt:i4>
      </vt:variant>
    </vt:vector>
  </HeadingPairs>
  <TitlesOfParts>
    <vt:vector size="26" baseType="lpstr">
      <vt:lpstr>MORRETES RURAL</vt:lpstr>
      <vt:lpstr>COLONIA MARQUES</vt:lpstr>
      <vt:lpstr>SARAPIÁ</vt:lpstr>
      <vt:lpstr>MORRO ALTO</vt:lpstr>
      <vt:lpstr>AMERICA BAIXO E AMER CIMA</vt:lpstr>
      <vt:lpstr>FARTURA</vt:lpstr>
      <vt:lpstr>ANHAIA</vt:lpstr>
      <vt:lpstr>MUNDO NOVO ANHAIA</vt:lpstr>
      <vt:lpstr>CARAMBIÚ</vt:lpstr>
      <vt:lpstr>NOVO MUNDO SAQUAREMA</vt:lpstr>
      <vt:lpstr>CRUZEIRO</vt:lpstr>
      <vt:lpstr>ITAPERUÇU</vt:lpstr>
      <vt:lpstr>ESTR.RURAL DO 32</vt:lpstr>
      <vt:lpstr>'AMERICA BAIXO E AMER CIMA'!Area_de_impressao</vt:lpstr>
      <vt:lpstr>ANHAIA!Area_de_impressao</vt:lpstr>
      <vt:lpstr>CARAMBIÚ!Area_de_impressao</vt:lpstr>
      <vt:lpstr>'COLONIA MARQUES'!Area_de_impressao</vt:lpstr>
      <vt:lpstr>CRUZEIRO!Area_de_impressao</vt:lpstr>
      <vt:lpstr>'ESTR.RURAL DO 32'!Area_de_impressao</vt:lpstr>
      <vt:lpstr>FARTURA!Area_de_impressao</vt:lpstr>
      <vt:lpstr>ITAPERUÇU!Area_de_impressao</vt:lpstr>
      <vt:lpstr>'MORRETES RURAL'!Area_de_impressao</vt:lpstr>
      <vt:lpstr>'MORRO ALTO'!Area_de_impressao</vt:lpstr>
      <vt:lpstr>'MUNDO NOVO ANHAIA'!Area_de_impressao</vt:lpstr>
      <vt:lpstr>'NOVO MUNDO SAQUAREMA'!Area_de_impressao</vt:lpstr>
      <vt:lpstr>SARAPIÁ!Area_de_impressao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internet</dc:creator>
  <cp:lastModifiedBy>Usuario</cp:lastModifiedBy>
  <cp:lastPrinted>2015-04-13T12:59:22Z</cp:lastPrinted>
  <dcterms:created xsi:type="dcterms:W3CDTF">2014-02-20T17:24:45Z</dcterms:created>
  <dcterms:modified xsi:type="dcterms:W3CDTF">2015-04-14T18:57:08Z</dcterms:modified>
</cp:coreProperties>
</file>